
<file path=[Content_Types].xml><?xml version="1.0" encoding="utf-8"?>
<Types xmlns="http://schemas.openxmlformats.org/package/2006/content-types">
  <Override PartName="/xl/worksheets/sheet15.xml" ContentType="application/vnd.openxmlformats-officedocument.spreadsheetml.worksheet+xml"/>
  <Override PartName="/customXml/itemProps3.xml" ContentType="application/vnd.openxmlformats-officedocument.customXmlProperties+xml"/>
  <Override PartName="/xl/ctrlProps/ctrlProp49.xml" ContentType="application/vnd.ms-excel.controlproperties+xml"/>
  <Override PartName="/xl/worksheets/sheet9.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drawings/drawing8.xml" ContentType="application/vnd.openxmlformats-officedocument.drawing+xml"/>
  <Override PartName="/xl/tables/table2.xml" ContentType="application/vnd.openxmlformats-officedocument.spreadsheetml.table+xml"/>
  <Override PartName="/xl/comments8.xml" ContentType="application/vnd.openxmlformats-officedocument.spreadsheetml.comments+xml"/>
  <Override PartName="/customXml/itemProps1.xml" ContentType="application/vnd.openxmlformats-officedocument.customXmlProperties+xml"/>
  <Override PartName="/xl/ctrlProps/ctrlProp47.xml" ContentType="application/vnd.ms-excel.controlproperties+xml"/>
  <Override PartName="/xl/ctrlProps/ctrlProp58.xml" ContentType="application/vnd.ms-excel.controlproperties+xml"/>
  <Override PartName="/xl/worksheets/sheet7.xml" ContentType="application/vnd.openxmlformats-officedocument.spreadsheetml.worksheet+xml"/>
  <Override PartName="/xl/worksheets/sheet11.xml" ContentType="application/vnd.openxmlformats-officedocument.spreadsheetml.worksheet+xml"/>
  <Override PartName="/xl/drawings/drawing4.xml" ContentType="application/vnd.openxmlformats-officedocument.drawing+xml"/>
  <Override PartName="/xl/comments6.xml" ContentType="application/vnd.openxmlformats-officedocument.spreadsheetml.comments+xml"/>
  <Override PartName="/xl/drawings/drawing17.xml" ContentType="application/vnd.openxmlformats-officedocument.drawing+xml"/>
  <Override PartName="/xl/ctrlProps/ctrlProp56.xml" ContentType="application/vnd.ms-excel.controlproperties+xml"/>
  <Override PartName="/xl/ctrlProps/ctrlProp45.xml" ContentType="application/vnd.ms-excel.controlproperties+xml"/>
  <Default Extension="rels" ContentType="application/vnd.openxmlformats-package.relationships+xml"/>
  <Default Extension="xml" ContentType="application/xml"/>
  <Override PartName="/xl/worksheets/sheet5.xml" ContentType="application/vnd.openxmlformats-officedocument.spreadsheetml.worksheet+xml"/>
  <Override PartName="/xl/drawings/drawing2.xml" ContentType="application/vnd.openxmlformats-officedocument.drawing+xml"/>
  <Override PartName="/xl/comments4.xml" ContentType="application/vnd.openxmlformats-officedocument.spreadsheetml.comments+xml"/>
  <Override PartName="/xl/drawings/drawing15.xml" ContentType="application/vnd.openxmlformats-officedocument.drawing+xml"/>
  <Override PartName="/xl/ctrlProps/ctrlProp43.xml" ContentType="application/vnd.ms-excel.controlproperties+xml"/>
  <Override PartName="/xl/ctrlProps/ctrlProp54.xml" ContentType="application/vnd.ms-excel.controlproperties+xml"/>
  <Override PartName="/xl/ctrlProps/ctrlProp52.xml" ContentType="application/vnd.ms-excel.controlproperties+xml"/>
  <Override PartName="/xl/worksheets/sheet3.xml" ContentType="application/vnd.openxmlformats-officedocument.spreadsheetml.worksheet+xml"/>
  <Override PartName="/xl/comments2.xml" ContentType="application/vnd.openxmlformats-officedocument.spreadsheetml.comments+xml"/>
  <Override PartName="/xl/drawings/drawing13.xml" ContentType="application/vnd.openxmlformats-officedocument.drawing+xml"/>
  <Override PartName="/xl/ctrlProps/ctrlProp50.xml" ContentType="application/vnd.ms-excel.controlproperties+xml"/>
  <Override PartName="/docProps/custom.xml" ContentType="application/vnd.openxmlformats-officedocument.custom-properties+xml"/>
  <Override PartName="/xl/worksheets/sheet1.xml" ContentType="application/vnd.openxmlformats-officedocument.spreadsheetml.worksheet+xml"/>
  <Override PartName="/xl/drawings/drawing11.xml" ContentType="application/vnd.openxmlformats-officedocument.drawing+xml"/>
  <Override PartName="/xl/comments14.xml" ContentType="application/vnd.openxmlformats-officedocument.spreadsheetml.comments+xml"/>
  <Override PartName="/xl/sharedStrings.xml" ContentType="application/vnd.openxmlformats-officedocument.spreadsheetml.sharedStrings+xml"/>
  <Override PartName="/xl/comments12.xml" ContentType="application/vnd.openxmlformats-officedocument.spreadsheetml.comments+xml"/>
  <Override PartName="/xl/worksheets/sheet17.xml" ContentType="application/vnd.openxmlformats-officedocument.spreadsheetml.worksheet+xml"/>
  <Override PartName="/xl/worksheets/sheet18.xml" ContentType="application/vnd.openxmlformats-officedocument.spreadsheetml.worksheet+xml"/>
  <Override PartName="/xl/comments10.xml" ContentType="application/vnd.openxmlformats-officedocument.spreadsheetml.comments+xml"/>
  <Override PartName="/xl/comments11.xml" ContentType="application/vnd.openxmlformats-officedocument.spreadsheetml.comments+xml"/>
  <Override PartName="/docProps/core.xml" ContentType="application/vnd.openxmlformats-package.core-properties+xml"/>
  <Override PartName="/xl/worksheets/sheet16.xml" ContentType="application/vnd.openxmlformats-officedocument.spreadsheetml.worksheet+xml"/>
  <Default Extension="bin" ContentType="application/vnd.openxmlformats-officedocument.spreadsheetml.printerSettings"/>
  <Default Extension="png" ContentType="image/png"/>
  <Override PartName="/xl/drawings/drawing9.xml" ContentType="application/vnd.openxmlformats-officedocument.drawing+xml"/>
  <Override PartName="/customXml/itemProps2.xml" ContentType="application/vnd.openxmlformats-officedocument.customXmlProperties+xml"/>
  <Override PartName="/xl/ctrlProps/ctrlProp59.xml" ContentType="application/vnd.ms-excel.controlproperties+xml"/>
  <Override PartName="/xl/worksheets/sheet14.xml" ContentType="application/vnd.openxmlformats-officedocument.spreadsheetml.worksheet+xml"/>
  <Override PartName="/xl/tables/table1.xml" ContentType="application/vnd.openxmlformats-officedocument.spreadsheetml.table+xml"/>
  <Override PartName="/xl/drawings/drawing7.xml" ContentType="application/vnd.openxmlformats-officedocument.drawing+xml"/>
  <Override PartName="/xl/comments9.xml" ContentType="application/vnd.openxmlformats-officedocument.spreadsheetml.comments+xml"/>
  <Override PartName="/xl/ctrlProps/ctrlProp48.xml" ContentType="application/vnd.ms-excel.controlproperties+xml"/>
  <Override PartName="/xl/ctrlProps/ctrlProp57.xml" ContentType="application/vnd.ms-excel.controlproperties+xml"/>
  <Override PartName="/xl/worksheets/sheet6.xml" ContentType="application/vnd.openxmlformats-officedocument.spreadsheetml.worksheet+xml"/>
  <Override PartName="/xl/worksheets/sheet8.xml" ContentType="application/vnd.openxmlformats-officedocument.spreadsheetml.worksheet+xml"/>
  <Override PartName="/xl/worksheets/sheet12.xml" ContentType="application/vnd.openxmlformats-officedocument.spreadsheetml.worksheet+xml"/>
  <Override PartName="/xl/drawings/drawing5.xml" ContentType="application/vnd.openxmlformats-officedocument.drawing+xml"/>
  <Override PartName="/xl/comments7.xml" ContentType="application/vnd.openxmlformats-officedocument.spreadsheetml.comments+xml"/>
  <Override PartName="/xl/ctrlProps/ctrlProp55.xml" ContentType="application/vnd.ms-excel.controlproperties+xml"/>
  <Override PartName="/xl/ctrlProps/ctrlProp46.xml" ContentType="application/vnd.ms-excel.controlproperties+xml"/>
  <Override PartName="/xl/workbook.xml" ContentType="application/vnd.openxmlformats-officedocument.spreadsheetml.sheet.main+xml"/>
  <Override PartName="/xl/worksheets/sheet4.xml" ContentType="application/vnd.openxmlformats-officedocument.spreadsheetml.worksheet+xml"/>
  <Override PartName="/xl/worksheets/sheet10.xml" ContentType="application/vnd.openxmlformats-officedocument.spreadsheetml.worksheet+xml"/>
  <Override PartName="/xl/drawings/drawing3.xml" ContentType="application/vnd.openxmlformats-officedocument.drawing+xml"/>
  <Override PartName="/xl/comments5.xml" ContentType="application/vnd.openxmlformats-officedocument.spreadsheetml.comments+xml"/>
  <Override PartName="/xl/drawings/drawing16.xml" ContentType="application/vnd.openxmlformats-officedocument.drawing+xml"/>
  <Override PartName="/xl/ctrlProps/ctrlProp44.xml" ContentType="application/vnd.ms-excel.controlproperties+xml"/>
  <Override PartName="/xl/ctrlProps/ctrlProp53.xml" ContentType="application/vnd.ms-excel.controlproperties+xml"/>
  <Override PartName="/docProps/app.xml" ContentType="application/vnd.openxmlformats-officedocument.extended-properties+xml"/>
  <Override PartName="/xl/worksheets/sheet2.xml" ContentType="application/vnd.openxmlformats-officedocument.spreadsheetml.worksheet+xml"/>
  <Override PartName="/xl/drawings/drawing1.xml" ContentType="application/vnd.openxmlformats-officedocument.drawing+xml"/>
  <Override PartName="/xl/comments3.xml" ContentType="application/vnd.openxmlformats-officedocument.spreadsheetml.comments+xml"/>
  <Override PartName="/xl/drawings/drawing14.xml" ContentType="application/vnd.openxmlformats-officedocument.drawing+xml"/>
  <Override PartName="/xl/ctrlProps/ctrlProp51.xml" ContentType="application/vnd.ms-excel.controlproperties+xml"/>
  <Override PartName="/xl/ctrlProps/ctrlProp60.xml" ContentType="application/vnd.ms-excel.controlproperties+xml"/>
  <Default Extension="vml" ContentType="application/vnd.openxmlformats-officedocument.vmlDrawing"/>
  <Override PartName="/xl/comments1.xml" ContentType="application/vnd.openxmlformats-officedocument.spreadsheetml.comments+xml"/>
  <Override PartName="/xl/drawings/drawing12.xml" ContentType="application/vnd.openxmlformats-officedocument.drawing+xml"/>
  <Override PartName="/xl/comments15.xml" ContentType="application/vnd.openxmlformats-officedocument.spreadsheetml.comments+xml"/>
  <Override PartName="/xl/calcChain.xml" ContentType="application/vnd.openxmlformats-officedocument.spreadsheetml.calcChain+xml"/>
  <Override PartName="/xl/worksheets/sheet19.xml" ContentType="application/vnd.openxmlformats-officedocument.spreadsheetml.worksheet+xml"/>
  <Override PartName="/xl/drawings/drawing10.xml" ContentType="application/vnd.openxmlformats-officedocument.drawing+xml"/>
  <Override PartName="/xl/comments13.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saveExternalLinkValues="0" codeName="ThisWorkbook"/>
  <bookViews>
    <workbookView xWindow="120" yWindow="-90" windowWidth="15570" windowHeight="8850" tabRatio="960" firstSheet="3" activeTab="15"/>
  </bookViews>
  <sheets>
    <sheet name="DDLs" sheetId="84" state="hidden" r:id="rId1"/>
    <sheet name="VersionControl" sheetId="120" state="hidden" r:id="rId2"/>
    <sheet name="Summary" sheetId="88" r:id="rId3"/>
    <sheet name="1ProjectRecord" sheetId="89" r:id="rId4"/>
    <sheet name="2Risks" sheetId="90" r:id="rId5"/>
    <sheet name="3CoreTeam" sheetId="107" r:id="rId6"/>
    <sheet name="4Advisors" sheetId="108" r:id="rId7"/>
    <sheet name="5InterestedStaff" sheetId="109" r:id="rId8"/>
    <sheet name="6OtherDivisions" sheetId="106" r:id="rId9"/>
    <sheet name="Workload" sheetId="119" state="hidden" r:id="rId10"/>
    <sheet name="7Regions" sheetId="105" r:id="rId11"/>
    <sheet name="8FinancialServices" sheetId="95" r:id="rId12"/>
    <sheet name="9OCO" sheetId="110" r:id="rId13"/>
    <sheet name="10OrgServices" sheetId="112" r:id="rId14"/>
    <sheet name="11TechServices" sheetId="113" r:id="rId15"/>
    <sheet name="12OCE" sheetId="117" r:id="rId16"/>
    <sheet name="13LEAD" sheetId="115" r:id="rId17"/>
    <sheet name="14Intergovernmental" sheetId="114" r:id="rId18"/>
    <sheet name="15CustomParticipants" sheetId="116" r:id="rId19"/>
  </sheets>
  <definedNames>
    <definedName name="P.1PlanYear">'1ProjectRecord'!$G$6</definedName>
    <definedName name="_xlnm.Print_Area" localSheetId="13">'10OrgServices'!$C$2:$Q$77</definedName>
    <definedName name="_xlnm.Print_Area" localSheetId="14">'11TechServices'!$C$2:$Q$61</definedName>
    <definedName name="_xlnm.Print_Area" localSheetId="15">'12OCE'!$C$2:$Q$29</definedName>
    <definedName name="_xlnm.Print_Area" localSheetId="16">'13LEAD'!$C$2:$Q$62</definedName>
    <definedName name="_xlnm.Print_Area" localSheetId="17">'14Intergovernmental'!$C$2:$Q$109</definedName>
    <definedName name="_xlnm.Print_Area" localSheetId="18">'15CustomParticipants'!$C$2:$Q$75</definedName>
    <definedName name="_xlnm.Print_Area" localSheetId="3">'1ProjectRecord'!$C$2:$S$24</definedName>
    <definedName name="_xlnm.Print_Area" localSheetId="4">'2Risks'!$C$2:$I$21</definedName>
    <definedName name="_xlnm.Print_Area" localSheetId="5">'3CoreTeam'!$C$2:$Q$53</definedName>
    <definedName name="_xlnm.Print_Area" localSheetId="6">'4Advisors'!$C$2:$Q$41</definedName>
    <definedName name="_xlnm.Print_Area" localSheetId="7">'5InterestedStaff'!$C$2:$Q$31</definedName>
    <definedName name="_xlnm.Print_Area" localSheetId="8">'6OtherDivisions'!$C$2:$Q$80</definedName>
    <definedName name="_xlnm.Print_Area" localSheetId="10">'7Regions'!$C$2:$Q$59</definedName>
    <definedName name="_xlnm.Print_Area" localSheetId="11">'8FinancialServices'!$C$2:$Q$61</definedName>
    <definedName name="_xlnm.Print_Area" localSheetId="12">'9OCO'!$C$2:$Q$61</definedName>
    <definedName name="_xlnm.Print_Area" localSheetId="2">Summary!$C$2:$R$28</definedName>
    <definedName name="R.0Header">Summary!$D$2</definedName>
    <definedName name="R.10Header">'10OrgServices'!$D$2</definedName>
    <definedName name="R.10HighDollars">'10OrgServices'!$U$5</definedName>
    <definedName name="R.10HighHrs">'10OrgServices'!$U$3</definedName>
    <definedName name="R.10HRDevHrs1">'10OrgServices'!$S$15</definedName>
    <definedName name="R.10HRDevHrs2">'10OrgServices'!$S$16</definedName>
    <definedName name="R.10HRDevHrs3">'10OrgServices'!$S$17</definedName>
    <definedName name="R.10HRDevHrs4">'10OrgServices'!$S$18</definedName>
    <definedName name="R.10HRDevName1">'10OrgServices'!$D$15</definedName>
    <definedName name="R.10HRDevName2">'10OrgServices'!$D$16</definedName>
    <definedName name="R.10HRDevName3">'10OrgServices'!$D$17</definedName>
    <definedName name="R.10HRDevName4">'10OrgServices'!$D$18</definedName>
    <definedName name="R.10HRImpHrs1">'10OrgServices'!$S$22</definedName>
    <definedName name="R.10HRImpHrs2">'10OrgServices'!$S$23</definedName>
    <definedName name="R.10HRImpHrs3">'10OrgServices'!$S$24</definedName>
    <definedName name="R.10HRImpHrs4">'10OrgServices'!$S$25</definedName>
    <definedName name="R.10HRImpName1">'10OrgServices'!$D$22</definedName>
    <definedName name="R.10HRImpName2">'10OrgServices'!$D$23</definedName>
    <definedName name="R.10HRImpName3">'10OrgServices'!$D$24</definedName>
    <definedName name="R.10HRImpName4">'10OrgServices'!$D$25</definedName>
    <definedName name="R.10LowDollars">'10OrgServices'!$T$5</definedName>
    <definedName name="R.10LowHrs">'10OrgServices'!$T$3</definedName>
    <definedName name="R.10PolicyDevHrs1">'10OrgServices'!$S$31</definedName>
    <definedName name="R.10PolicyDevHrs2">'10OrgServices'!$S$32</definedName>
    <definedName name="R.10PolicyDevHrs3">'10OrgServices'!$S$33</definedName>
    <definedName name="R.10PolicyDevHrs4">'10OrgServices'!$S$34</definedName>
    <definedName name="R.10PolicyDevName1">'10OrgServices'!$D$31</definedName>
    <definedName name="R.10PolicyDevName2">'10OrgServices'!$D$32</definedName>
    <definedName name="R.10PolicyDevName3">'10OrgServices'!$D$33</definedName>
    <definedName name="R.10PolicyDevName4">'10OrgServices'!$D$34</definedName>
    <definedName name="R.10PolicyImpHrs1">'10OrgServices'!$S$38</definedName>
    <definedName name="R.10PolicyImpHrs2">'10OrgServices'!$S$39</definedName>
    <definedName name="R.10PolicyImpHrs3">'10OrgServices'!$S$40</definedName>
    <definedName name="R.10PolicyImpHrs4">'10OrgServices'!$S$41</definedName>
    <definedName name="R.10PolicyImpName1">'10OrgServices'!$D$38</definedName>
    <definedName name="R.10PolicyImpName2">'10OrgServices'!$D$39</definedName>
    <definedName name="R.10PolicyImpName3">'10OrgServices'!$D$40</definedName>
    <definedName name="R.10PolicyImpName4">'10OrgServices'!$D$41</definedName>
    <definedName name="R.10SafetyDevHrs1">'10OrgServices'!$S$47</definedName>
    <definedName name="R.10SafetyDevHrs2">'10OrgServices'!$S$48</definedName>
    <definedName name="R.10SafetyDevHrs3">'10OrgServices'!$S$49</definedName>
    <definedName name="R.10SafetyDevHrs4">'10OrgServices'!$S$50</definedName>
    <definedName name="R.10SafetyDevName1">'10OrgServices'!$D$47</definedName>
    <definedName name="R.10SafetyDevName2">'10OrgServices'!$D$48</definedName>
    <definedName name="R.10SafetyDevName3">'10OrgServices'!$D$49</definedName>
    <definedName name="R.10SafetyDevName4">'10OrgServices'!$D$50</definedName>
    <definedName name="R.10SafetyImpHrs1">'10OrgServices'!$S$54</definedName>
    <definedName name="R.10SafetyImpHrs2">'10OrgServices'!$S$55</definedName>
    <definedName name="R.10SafetyImpHrs3">'10OrgServices'!$S$56</definedName>
    <definedName name="R.10SafetyImpHrs4">'10OrgServices'!$S$57</definedName>
    <definedName name="R.10SafetyImpName1">'10OrgServices'!$D$54</definedName>
    <definedName name="R.10SafetyImpName2">'10OrgServices'!$D$55</definedName>
    <definedName name="R.10SafetyImpName3">'10OrgServices'!$D$56</definedName>
    <definedName name="R.10SafetyImpName4">'10OrgServices'!$D$57</definedName>
    <definedName name="R.10StaffCount">'10OrgServices'!$S$3</definedName>
    <definedName name="R.10TrainingDevHrs1">'10OrgServices'!$S$63</definedName>
    <definedName name="R.10TrainingDevHrs2">'10OrgServices'!$S$64</definedName>
    <definedName name="R.10TrainingDevHrs3">'10OrgServices'!$S$65</definedName>
    <definedName name="R.10TrainingDevHrs4">'10OrgServices'!$S$66</definedName>
    <definedName name="R.10TrainingDevName1">'10OrgServices'!$D$63</definedName>
    <definedName name="R.10TrainingDevName2">'10OrgServices'!$D$64</definedName>
    <definedName name="R.10TrainingDevName3">'10OrgServices'!$D$65</definedName>
    <definedName name="R.10TrainingDevName4">'10OrgServices'!$D$66</definedName>
    <definedName name="R.10TrainingImpHrs1">'10OrgServices'!$S$70</definedName>
    <definedName name="R.10TrainingImpHrs2">'10OrgServices'!$S$71</definedName>
    <definedName name="R.10TrainingImpHrs3">'10OrgServices'!$S$72</definedName>
    <definedName name="R.10TrainingImpHrs4">'10OrgServices'!$S$73</definedName>
    <definedName name="R.10TrainingImpName1">'10OrgServices'!$D$70</definedName>
    <definedName name="R.10TrainingImpName2">'10OrgServices'!$D$71</definedName>
    <definedName name="R.10TrainingImpName3">'10OrgServices'!$D$72</definedName>
    <definedName name="R.10TrainingImpName4">'10OrgServices'!$D$73</definedName>
    <definedName name="R.11BSDDevHrs1">'11TechServices'!$S$47</definedName>
    <definedName name="R.11BSDDevHrs2">'11TechServices'!$S$48</definedName>
    <definedName name="R.11BSDDevHrs3">'11TechServices'!$S$49</definedName>
    <definedName name="R.11BSDDevHrs4">'11TechServices'!$S$50</definedName>
    <definedName name="R.11BSDDevName1">'11TechServices'!$D$47</definedName>
    <definedName name="R.11BSDDevName2">'11TechServices'!$D$48</definedName>
    <definedName name="R.11BSDDevName3">'11TechServices'!$D$49</definedName>
    <definedName name="R.11BSDDevName4">'11TechServices'!$D$50</definedName>
    <definedName name="R.11BSDImpHrs1">'11TechServices'!$S$54</definedName>
    <definedName name="R.11BSDImpHrs2">'11TechServices'!$S$55</definedName>
    <definedName name="R.11BSDImpHrs3">'11TechServices'!$S$56</definedName>
    <definedName name="R.11BSDImpHrs4">'11TechServices'!$S$57</definedName>
    <definedName name="R.11BSDImpName1">'11TechServices'!$D$54</definedName>
    <definedName name="R.11BSDImpName2">'11TechServices'!$D$55</definedName>
    <definedName name="R.11BSDImpName3">'11TechServices'!$D$56</definedName>
    <definedName name="R.11BSDImpName4">'11TechServices'!$D$57</definedName>
    <definedName name="R.11DivTechDevHrs1">'11TechServices'!$S$15</definedName>
    <definedName name="R.11DivTechDevHrs2">'11TechServices'!$S$16</definedName>
    <definedName name="R.11DivTechDevHrs3">'11TechServices'!$S$17</definedName>
    <definedName name="R.11DivTechDevHrs4">'11TechServices'!$S$18</definedName>
    <definedName name="R.11DivTechDevName1">'11TechServices'!$D$15</definedName>
    <definedName name="R.11DivTechDevName2">'11TechServices'!$D$16</definedName>
    <definedName name="R.11DivTechDevName3">'11TechServices'!$D$17</definedName>
    <definedName name="R.11DivTechDevName4">'11TechServices'!$D$18</definedName>
    <definedName name="R.11DivTechImpHrs1">'11TechServices'!$S$22</definedName>
    <definedName name="R.11DivTechImpHrs2">'11TechServices'!$S$23</definedName>
    <definedName name="R.11DivTechImpHrs3">'11TechServices'!$S$24</definedName>
    <definedName name="R.11DivTechImpHrs4">'11TechServices'!$S$25</definedName>
    <definedName name="R.11DivTechImpName1">'11TechServices'!$D$22</definedName>
    <definedName name="R.11DivTechImpName2">'11TechServices'!$D$23</definedName>
    <definedName name="R.11DivTechImpName3">'11TechServices'!$D$24</definedName>
    <definedName name="R.11DivTechImpName4">'11TechServices'!$D$25</definedName>
    <definedName name="R.11Header">'11TechServices'!$D$2</definedName>
    <definedName name="R.11HighDollars">'11TechServices'!$U$5</definedName>
    <definedName name="R.11HighHrs">'11TechServices'!$U$3</definedName>
    <definedName name="R.11ITDevHrs1">'11TechServices'!$S$31</definedName>
    <definedName name="R.11ITDevHrs2">'11TechServices'!$S$32</definedName>
    <definedName name="R.11ITDevHrs3">'11TechServices'!$S$33</definedName>
    <definedName name="R.11ITDevHrs4">'11TechServices'!$S$34</definedName>
    <definedName name="R.11ITDevName1">'11TechServices'!$D$31</definedName>
    <definedName name="R.11ITDevName2">'11TechServices'!$D$32</definedName>
    <definedName name="R.11ITDevName3">'11TechServices'!$D$33</definedName>
    <definedName name="R.11ITDevName4">'11TechServices'!$D$34</definedName>
    <definedName name="R.11ITImpHrs1">'11TechServices'!$S$38</definedName>
    <definedName name="R.11ITImpHrs2">'11TechServices'!$S$39</definedName>
    <definedName name="R.11ITImpHrs3">'11TechServices'!$S$40</definedName>
    <definedName name="R.11ITImpHrs4">'11TechServices'!$S$41</definedName>
    <definedName name="R.11ITImpName1">'11TechServices'!$D$38</definedName>
    <definedName name="R.11ITImpName2">'11TechServices'!$D$39</definedName>
    <definedName name="R.11ITImpName3">'11TechServices'!$D$40</definedName>
    <definedName name="R.11ITImpName4">'11TechServices'!$D$41</definedName>
    <definedName name="R.11LowDollars">'11TechServices'!$T$5</definedName>
    <definedName name="R.11LowHrs">'11TechServices'!$T$3</definedName>
    <definedName name="R.11StaffCount">'11TechServices'!$S$3</definedName>
    <definedName name="R.12Header">'12OCE'!$D$2</definedName>
    <definedName name="R.12HighDollars">'12OCE'!$U$6</definedName>
    <definedName name="R.12HighHrs">'12OCE'!$U$4</definedName>
    <definedName name="R.12LowDollars">'12OCE'!$T$6</definedName>
    <definedName name="R.12LowHrs">'12OCE'!$T$4</definedName>
    <definedName name="R.12OCEDevHrs1">'12OCE'!$S$15</definedName>
    <definedName name="R.12OCEDevHrs2">'12OCE'!$S$16</definedName>
    <definedName name="R.12OCEDevHrs3">'12OCE'!$S$17</definedName>
    <definedName name="R.12OCEDevHrs4">'12OCE'!$S$18</definedName>
    <definedName name="R.12OCEDevName1">'12OCE'!$D$15</definedName>
    <definedName name="R.12OCEDevName2">'12OCE'!$D$16</definedName>
    <definedName name="R.12OCEDevName3">'12OCE'!$D$17</definedName>
    <definedName name="R.12OCEDevName4">'12OCE'!$D$18</definedName>
    <definedName name="R.12OCEImpHrs1">'12OCE'!$S$22</definedName>
    <definedName name="R.12OCEImpHrs2">'12OCE'!$S$23</definedName>
    <definedName name="R.12OCEImpHrs3">'12OCE'!$S$24</definedName>
    <definedName name="R.12OCEImpHrs4">'12OCE'!$S$25</definedName>
    <definedName name="R.12OCEImpName1">'12OCE'!$D$22</definedName>
    <definedName name="R.12OCEImpName2">'12OCE'!$D$23</definedName>
    <definedName name="R.12OCEImpName3">'12OCE'!$D$24</definedName>
    <definedName name="R.12OCEImpName4">'12OCE'!$D$25</definedName>
    <definedName name="R.12StaffCount">'12OCE'!$S$4</definedName>
    <definedName name="R.13Header">'13LEAD'!$D$2</definedName>
    <definedName name="R.13HighDollars">'13LEAD'!$U$6</definedName>
    <definedName name="R.13HighHrs">'13LEAD'!$U$4</definedName>
    <definedName name="R.13LowDollars">'13LEAD'!$T$6</definedName>
    <definedName name="R.13LowHrs">'13LEAD'!$T$4</definedName>
    <definedName name="R.13MonitorDevHrs1">'13LEAD'!$S$16</definedName>
    <definedName name="R.13MonitorDevHrs2">'13LEAD'!$S$17</definedName>
    <definedName name="R.13MonitorDevHrs3">'13LEAD'!$S$18</definedName>
    <definedName name="R.13MonitorDevHrs4">'13LEAD'!$S$19</definedName>
    <definedName name="R.13MonitorDevName1">'13LEAD'!$D$16</definedName>
    <definedName name="R.13MonitorDevName2">'13LEAD'!$D$17</definedName>
    <definedName name="R.13MonitorDevName3">'13LEAD'!$D$18</definedName>
    <definedName name="R.13MonitorDevName4">'13LEAD'!$D$19</definedName>
    <definedName name="R.13MonitorImpHrs1">'13LEAD'!$S$23</definedName>
    <definedName name="R.13MonitorImpHrs2">'13LEAD'!$S$24</definedName>
    <definedName name="R.13MonitorImpHrs3">'13LEAD'!$S$25</definedName>
    <definedName name="R.13MonitorImpHrs4">'13LEAD'!$S$26</definedName>
    <definedName name="R.13MonitorImpName1">'13LEAD'!$D$23</definedName>
    <definedName name="R.13MonitorImpName2">'13LEAD'!$D$24</definedName>
    <definedName name="R.13MonitorImpName3">'13LEAD'!$D$25</definedName>
    <definedName name="R.13MonitorImpName4">'13LEAD'!$D$26</definedName>
    <definedName name="R.13QADevHrs1">'13LEAD'!$S$48</definedName>
    <definedName name="R.13QADevHrs2">'13LEAD'!$S$49</definedName>
    <definedName name="R.13QADevHrs3">'13LEAD'!$S$50</definedName>
    <definedName name="R.13QADevHrs4">'13LEAD'!$S$51</definedName>
    <definedName name="R.13QADevName1">'13LEAD'!$D$48</definedName>
    <definedName name="R.13QADevName2">'13LEAD'!$D$49</definedName>
    <definedName name="R.13QADevName3">'13LEAD'!$D$50</definedName>
    <definedName name="R.13QADevName4">'13LEAD'!$D$51</definedName>
    <definedName name="R.13QAImpHrs1">'13LEAD'!$S$55</definedName>
    <definedName name="R.13QAImpHrs2">'13LEAD'!$S$56</definedName>
    <definedName name="R.13QAImpHrs3">'13LEAD'!$S$57</definedName>
    <definedName name="R.13QAImpHrs4">'13LEAD'!$S$58</definedName>
    <definedName name="R.13QAImpName1">'13LEAD'!$D$55</definedName>
    <definedName name="R.13QAImpName2">'13LEAD'!$D$56</definedName>
    <definedName name="R.13QAImpName3">'13LEAD'!$D$57</definedName>
    <definedName name="R.13QAImpName4">'13LEAD'!$D$58</definedName>
    <definedName name="R.13StaffCount">'13LEAD'!$S$4</definedName>
    <definedName name="R.13TestDevHrs1">'13LEAD'!$S$32</definedName>
    <definedName name="R.13TestDevHrs2">'13LEAD'!$S$33</definedName>
    <definedName name="R.13TestDevHrs3">'13LEAD'!$S$34</definedName>
    <definedName name="R.13TestDevHrs4">'13LEAD'!$S$35</definedName>
    <definedName name="R.13TestDevName1">'13LEAD'!$D$32</definedName>
    <definedName name="R.13TestDevName2">'13LEAD'!$D$33</definedName>
    <definedName name="R.13TestDevName3">'13LEAD'!$D$34</definedName>
    <definedName name="R.13TestDevName4">'13LEAD'!$D$35</definedName>
    <definedName name="R.13TestImpHrs1">'13LEAD'!$S$39</definedName>
    <definedName name="R.13TestImpHrs2">'13LEAD'!$S$40</definedName>
    <definedName name="R.13TestImpHrs3">'13LEAD'!$S$41</definedName>
    <definedName name="R.13TestImpHrs4">'13LEAD'!$S$42</definedName>
    <definedName name="R.13TestImpName1">'13LEAD'!$D$39</definedName>
    <definedName name="R.13TestImpName2">'13LEAD'!$D$40</definedName>
    <definedName name="R.13TestImpName3">'13LEAD'!$D$41</definedName>
    <definedName name="R.13TestImpName4">'13LEAD'!$D$42</definedName>
    <definedName name="R.14CountyDevHrs1">'14Intergovernmental'!$S$63</definedName>
    <definedName name="R.14CountyDevHrs2">'14Intergovernmental'!$S$64</definedName>
    <definedName name="R.14CountyDevHrs3">'14Intergovernmental'!$S$65</definedName>
    <definedName name="R.14CountyDevHrs4">'14Intergovernmental'!$S$66</definedName>
    <definedName name="R.14CountyDevName1">'14Intergovernmental'!$D$63</definedName>
    <definedName name="R.14CountyDevName2">'14Intergovernmental'!$D$64</definedName>
    <definedName name="R.14CountyDevName3">'14Intergovernmental'!$D$65</definedName>
    <definedName name="R.14CountyDevName4">'14Intergovernmental'!$D$66</definedName>
    <definedName name="R.14CountyImpHrs1">'14Intergovernmental'!$S$70</definedName>
    <definedName name="R.14CountyImpHrs2">'14Intergovernmental'!$S$71</definedName>
    <definedName name="R.14CountyImpHrs3">'14Intergovernmental'!$S$72</definedName>
    <definedName name="R.14CountyImpHrs4">'14Intergovernmental'!$S$73</definedName>
    <definedName name="R.14CountyImpName1">'14Intergovernmental'!$D$70</definedName>
    <definedName name="R.14CountyImpName2">'14Intergovernmental'!$D$71</definedName>
    <definedName name="R.14CountyImpName3">'14Intergovernmental'!$D$72</definedName>
    <definedName name="R.14CountyImpName4">'14Intergovernmental'!$D$73</definedName>
    <definedName name="R.14DistrictsDevHrs1">'14Intergovernmental'!$S$79</definedName>
    <definedName name="R.14DistrictsDevHrs2">'14Intergovernmental'!$S$80</definedName>
    <definedName name="R.14DistrictsDevHrs3">'14Intergovernmental'!$S$81</definedName>
    <definedName name="R.14DistrictsDevHrs4">'14Intergovernmental'!$S$82</definedName>
    <definedName name="R.14DistrictsDevName1">'14Intergovernmental'!$D$79</definedName>
    <definedName name="R.14DistrictsDevName2">'14Intergovernmental'!$D$80</definedName>
    <definedName name="R.14DistrictsDevName3">'14Intergovernmental'!$D$81</definedName>
    <definedName name="R.14DistrictsDevName4">'14Intergovernmental'!$D$82</definedName>
    <definedName name="R.14DistrictsImpHrs1">'14Intergovernmental'!$S$86</definedName>
    <definedName name="R.14DistrictsImpHrs2">'14Intergovernmental'!$S$87</definedName>
    <definedName name="R.14DistrictsImpHrs3">'14Intergovernmental'!$S$88</definedName>
    <definedName name="R.14DistrictsImpHrs4">'14Intergovernmental'!$S$89</definedName>
    <definedName name="R.14DistrictsImpName1">'14Intergovernmental'!$D$86</definedName>
    <definedName name="R.14DistrictsImpName2">'14Intergovernmental'!$D$87</definedName>
    <definedName name="R.14DistrictsImpName3">'14Intergovernmental'!$D$88</definedName>
    <definedName name="R.14DistrictsImpName4">'14Intergovernmental'!$D$89</definedName>
    <definedName name="R.14EPADevHrs1">'14Intergovernmental'!$S$31</definedName>
    <definedName name="R.14EPADevHrs2">'14Intergovernmental'!$S$32</definedName>
    <definedName name="R.14EPADevHrs3">'14Intergovernmental'!$S$33</definedName>
    <definedName name="R.14EPADevHrs4">'14Intergovernmental'!$S$34</definedName>
    <definedName name="R.14EPADevName1">'14Intergovernmental'!$D$31</definedName>
    <definedName name="R.14EPADevName2">'14Intergovernmental'!$D$32</definedName>
    <definedName name="R.14EPADevName3">'14Intergovernmental'!$D$33</definedName>
    <definedName name="R.14EPADevName4">'14Intergovernmental'!$D$34</definedName>
    <definedName name="R.14EPAImpHrs1">'14Intergovernmental'!$S$38</definedName>
    <definedName name="R.14EPAImpHrs2">'14Intergovernmental'!$S$39</definedName>
    <definedName name="R.14EPAImpHrs3">'14Intergovernmental'!$S$40</definedName>
    <definedName name="R.14EPAImpHrs4">'14Intergovernmental'!$S$41</definedName>
    <definedName name="R.14EPAImpName1">'14Intergovernmental'!$D$38</definedName>
    <definedName name="R.14EPAImpName2">'14Intergovernmental'!$D$39</definedName>
    <definedName name="R.14EPAImpName3">'14Intergovernmental'!$D$40</definedName>
    <definedName name="R.14EPAImpName4">'14Intergovernmental'!$D$41</definedName>
    <definedName name="R.14Header">'14Intergovernmental'!$D$2</definedName>
    <definedName name="R.14HighDollars">'14Intergovernmental'!$U$5</definedName>
    <definedName name="R.14HighHrs">'14Intergovernmental'!$U$3</definedName>
    <definedName name="R.14LowDollars">'14Intergovernmental'!$T$5</definedName>
    <definedName name="R.14LowHrs">'14Intergovernmental'!$T$3</definedName>
    <definedName name="R.14LRAPADevHrs1">'14Intergovernmental'!$S$15</definedName>
    <definedName name="R.14LRAPADevHrs2">'14Intergovernmental'!$S$16</definedName>
    <definedName name="R.14LRAPADevHrs3">'14Intergovernmental'!$S$17</definedName>
    <definedName name="R.14LRAPADevHrs4">'14Intergovernmental'!$S$18</definedName>
    <definedName name="R.14LRAPADevName1">'14Intergovernmental'!$D$15</definedName>
    <definedName name="R.14LRAPADevName2">'14Intergovernmental'!$D$16</definedName>
    <definedName name="R.14LRAPADevName3">'14Intergovernmental'!$D$17</definedName>
    <definedName name="R.14LRAPADevName4">'14Intergovernmental'!$D$18</definedName>
    <definedName name="R.14LRAPAImpHrs1">'14Intergovernmental'!$S$22</definedName>
    <definedName name="R.14LRAPAImpHrs2">'14Intergovernmental'!$S$23</definedName>
    <definedName name="R.14LRAPAImpHrs3">'14Intergovernmental'!$S$24</definedName>
    <definedName name="R.14LRAPAImpHrs4">'14Intergovernmental'!$S$25</definedName>
    <definedName name="R.14LRAPAImpName1">'14Intergovernmental'!$D$22</definedName>
    <definedName name="R.14LRAPAImpName2">'14Intergovernmental'!$D$23</definedName>
    <definedName name="R.14LRAPAImpName3">'14Intergovernmental'!$D$24</definedName>
    <definedName name="R.14LRAPAImpName4">'14Intergovernmental'!$D$25</definedName>
    <definedName name="R.14MuniDevHrs1">'14Intergovernmental'!$S$47</definedName>
    <definedName name="R.14MuniDevHrs2">'14Intergovernmental'!$S$48</definedName>
    <definedName name="R.14MuniDevHrs3">'14Intergovernmental'!$S$49</definedName>
    <definedName name="R.14MuniDevHrs4">'14Intergovernmental'!$S$50</definedName>
    <definedName name="R.14MuniDevName1">'14Intergovernmental'!$D$47</definedName>
    <definedName name="R.14MuniDevName2">'14Intergovernmental'!$D$48</definedName>
    <definedName name="R.14MuniDevName3">'14Intergovernmental'!$D$49</definedName>
    <definedName name="R.14MuniDevName4">'14Intergovernmental'!$D$50</definedName>
    <definedName name="R.14MuniImpHrs1">'14Intergovernmental'!$S$54</definedName>
    <definedName name="R.14MuniImpHrs2">'14Intergovernmental'!$S$55</definedName>
    <definedName name="R.14MuniImpHrs3">'14Intergovernmental'!$S$56</definedName>
    <definedName name="R.14MuniImpHrs4">'14Intergovernmental'!$S$57</definedName>
    <definedName name="R.14MuniImpName1">'14Intergovernmental'!$D$54</definedName>
    <definedName name="R.14MuniImpName2">'14Intergovernmental'!$D$55</definedName>
    <definedName name="R.14MuniImpName3">'14Intergovernmental'!$D$56</definedName>
    <definedName name="R.14MuniImpName4">'14Intergovernmental'!$D$57</definedName>
    <definedName name="R.14StaffCount">'14Intergovernmental'!$S$3</definedName>
    <definedName name="R.14TribeDevHrs1">'14Intergovernmental'!$S$95</definedName>
    <definedName name="R.14TribeDevHrs2">'14Intergovernmental'!$S$96</definedName>
    <definedName name="R.14TribeDevHrs3">'14Intergovernmental'!$S$97</definedName>
    <definedName name="R.14TribeDevHrs4">'14Intergovernmental'!$S$98</definedName>
    <definedName name="R.14TribeDevName1">'14Intergovernmental'!$D$95</definedName>
    <definedName name="R.14TribeDevName2">'14Intergovernmental'!$D$96</definedName>
    <definedName name="R.14TribeDevName3">'14Intergovernmental'!$D$97</definedName>
    <definedName name="R.14TribeDevName4">'14Intergovernmental'!$D$98</definedName>
    <definedName name="R.14TribeImpHrs1">'14Intergovernmental'!$S$102</definedName>
    <definedName name="R.14TribeImpHrs2">'14Intergovernmental'!$S$103</definedName>
    <definedName name="R.14TribeImpHrs3">'14Intergovernmental'!$S$104</definedName>
    <definedName name="R.14TribeImpHrs4">'14Intergovernmental'!$S$105</definedName>
    <definedName name="R.14TribeImpName1">'14Intergovernmental'!$D$102</definedName>
    <definedName name="R.14TribeImpName2">'14Intergovernmental'!$D$103</definedName>
    <definedName name="R.14TribeImpName3">'14Intergovernmental'!$D$104</definedName>
    <definedName name="R.14TribeImpName4">'14Intergovernmental'!$D$105</definedName>
    <definedName name="R.15Header">'15CustomParticipants'!$D$2</definedName>
    <definedName name="R.15HighDollars">'15CustomParticipants'!$V$5</definedName>
    <definedName name="R.15HighHrs">'15CustomParticipants'!$V$3</definedName>
    <definedName name="R.15LowDollars">'15CustomParticipants'!$U$5</definedName>
    <definedName name="R.15LowHrs">'15CustomParticipants'!$U$3</definedName>
    <definedName name="R.15StaffCount">'15CustomParticipants'!$T$3</definedName>
    <definedName name="R.1CodeName">'1ProjectRecord'!$G$5</definedName>
    <definedName name="R.1Division">'1ProjectRecord'!$V$6</definedName>
    <definedName name="R.1Header">'1ProjectRecord'!$D$2</definedName>
    <definedName name="R.1MediaAndLongName">'1ProjectRecord'!$V$4</definedName>
    <definedName name="R.1MediumName">'1ProjectRecord'!$H$5</definedName>
    <definedName name="R.1ProjectName">'1ProjectRecord'!$G$4</definedName>
    <definedName name="R.2aOrgRisk">'2Risks'!$L$6</definedName>
    <definedName name="R.2bOrgRisk">'2Risks'!$L$11</definedName>
    <definedName name="R.2cOrgRisk">'2Risks'!$L$16</definedName>
    <definedName name="R.2Header">'2Risks'!$D$2</definedName>
    <definedName name="R.3CustomHrs1">'3CoreTeam'!$S$43</definedName>
    <definedName name="R.3CustomHrs2">'3CoreTeam'!$S$49</definedName>
    <definedName name="R.3CustomName1">'3CoreTeam'!$D$43</definedName>
    <definedName name="R.3CustomName2">'3CoreTeam'!$D$49</definedName>
    <definedName name="R.3CustomRole1">'3CoreTeam'!$D$39</definedName>
    <definedName name="R.3CustomRole2">'3CoreTeam'!$D$45</definedName>
    <definedName name="R.3Header">'3CoreTeam'!$D$2</definedName>
    <definedName name="R.3HighDollars">'3CoreTeam'!$U$5</definedName>
    <definedName name="R.3HighHrs">'3CoreTeam'!$U$3</definedName>
    <definedName name="R.3LAHrs">'3CoreTeam'!$S$25</definedName>
    <definedName name="R.3LAname">'3CoreTeam'!$D$25</definedName>
    <definedName name="R.3LMHrs">'3CoreTeam'!$S$19</definedName>
    <definedName name="R.3LMname">'3CoreTeam'!$D$19</definedName>
    <definedName name="R.3LowDollars">'3CoreTeam'!$T$5</definedName>
    <definedName name="R.3LowHrs">'3CoreTeam'!$T$3</definedName>
    <definedName name="R.3PAHrs">'3CoreTeam'!$S$37</definedName>
    <definedName name="R.3PAname">'3CoreTeam'!$D$37</definedName>
    <definedName name="R.3PEHrs">'3CoreTeam'!$S$31</definedName>
    <definedName name="R.3PEname">'3CoreTeam'!$D$31</definedName>
    <definedName name="R.3SEhrs">'3CoreTeam'!$S$13</definedName>
    <definedName name="R.3SEname">'3CoreTeam'!$D$13</definedName>
    <definedName name="R.3StaffCount">'3CoreTeam'!$S$3</definedName>
    <definedName name="R.4AGHrs">'4Advisors'!$S$13</definedName>
    <definedName name="R.4AGName">'4Advisors'!$D$13</definedName>
    <definedName name="R.4ARCHrs">'4Advisors'!$S$19</definedName>
    <definedName name="R.4ARCName">'4Advisors'!$D$19</definedName>
    <definedName name="R.4ASIPCoHrs">'4Advisors'!$S$25</definedName>
    <definedName name="R.4CustomAName">'4Advisors'!$D$31</definedName>
    <definedName name="R.4CustomBName">'4Advisors'!$D$37</definedName>
    <definedName name="R.4CustomHrs1">'4Advisors'!$S$31</definedName>
    <definedName name="R.4CustomHrs2">'4Advisors'!$S$31</definedName>
    <definedName name="R.4CustomRole1">'4Advisors'!$D$27</definedName>
    <definedName name="R.4CustomRole2">'4Advisors'!$D$33</definedName>
    <definedName name="R.4Header">'4Advisors'!$D$2</definedName>
    <definedName name="R.4HighDollars">'4Advisors'!$U$5</definedName>
    <definedName name="R.4HighHrs">'4Advisors'!$U$3</definedName>
    <definedName name="R.4LowDollars">'4Advisors'!$T$5</definedName>
    <definedName name="R.4LowHrs">'4Advisors'!$T$3</definedName>
    <definedName name="R.4SIPCoName">'4Advisors'!$D$25</definedName>
    <definedName name="R.4StaffCount">'4Advisors'!$S$3</definedName>
    <definedName name="R.5EQCHrs1">'5InterestedStaff'!$S$13</definedName>
    <definedName name="R.5EQCHrs2">'5InterestedStaff'!$S$14</definedName>
    <definedName name="R.5EQCHrs3">'5InterestedStaff'!$S$15</definedName>
    <definedName name="R.5EQCHrs4">'5InterestedStaff'!$S$16</definedName>
    <definedName name="R.5EQCHrs5">'5InterestedStaff'!$S$17</definedName>
    <definedName name="R.5EQCHrs6">'5InterestedStaff'!$S$18</definedName>
    <definedName name="R.5EQCName1">'5InterestedStaff'!$D$13</definedName>
    <definedName name="R.5EQCName2">'5InterestedStaff'!$D$14</definedName>
    <definedName name="R.5EQCName3">'5InterestedStaff'!$D$15</definedName>
    <definedName name="R.5EQCName4">'5InterestedStaff'!$D$16</definedName>
    <definedName name="R.5EQCName5">'5InterestedStaff'!$D$17</definedName>
    <definedName name="R.5EQCName6">'5InterestedStaff'!$D$18</definedName>
    <definedName name="R.5Header">'5InterestedStaff'!$D$2</definedName>
    <definedName name="R.5HighDollars">'5InterestedStaff'!$U$5</definedName>
    <definedName name="R.5HighHrs">'5InterestedStaff'!$U$3</definedName>
    <definedName name="R.5InterestedStaffHrsA">'5InterestedStaff'!$S$24</definedName>
    <definedName name="R.5InterestedStaffHrsB">'5InterestedStaff'!$S$25</definedName>
    <definedName name="R.5InterestedStaffHrsC">'5InterestedStaff'!$S$26</definedName>
    <definedName name="R.5InterestedStaffHrsD">'5InterestedStaff'!$S$27</definedName>
    <definedName name="R.5InterestedStaffNameA">'5InterestedStaff'!$D$24</definedName>
    <definedName name="R.5InterestedStaffNameB">'5InterestedStaff'!$D$25</definedName>
    <definedName name="R.5InterestedStaffNameC">'5InterestedStaff'!$D$26</definedName>
    <definedName name="R.5InterestedStaffNameD">'5InterestedStaff'!$D$27</definedName>
    <definedName name="R.5LowDollars">'5InterestedStaff'!$T$5</definedName>
    <definedName name="R.5LowHrs">'5InterestedStaff'!$T$3</definedName>
    <definedName name="R.5StaffCount">'5InterestedStaff'!$S$3</definedName>
    <definedName name="R.6AQDevHrs1">'6OtherDivisions'!$S$47</definedName>
    <definedName name="R.6AQDevHrs2">'6OtherDivisions'!$S$48</definedName>
    <definedName name="R.6AQDevHrs3">'6OtherDivisions'!$S$49</definedName>
    <definedName name="R.6AQDevHrs4">'6OtherDivisions'!$S$50</definedName>
    <definedName name="R.6AQDevName1">'6OtherDivisions'!$D$47</definedName>
    <definedName name="R.6AQDevName2">'6OtherDivisions'!$D$48</definedName>
    <definedName name="R.6AQDevName3">'6OtherDivisions'!$D$49</definedName>
    <definedName name="R.6AQDevName4">'6OtherDivisions'!$D$50</definedName>
    <definedName name="R.6AQImpHrs1">'6OtherDivisions'!$S$54</definedName>
    <definedName name="R.6AQImpHrs2">'6OtherDivisions'!$S$55</definedName>
    <definedName name="R.6AQImpHrs3">'6OtherDivisions'!$S$56</definedName>
    <definedName name="R.6AQImpHrs4">'6OtherDivisions'!$S$57</definedName>
    <definedName name="R.6AQImpName1">'6OtherDivisions'!$D$54</definedName>
    <definedName name="R.6AQImpName2">'6OtherDivisions'!$D$55</definedName>
    <definedName name="R.6AQImpName3">'6OtherDivisions'!$D$56</definedName>
    <definedName name="R.6AQImpName4">'6OtherDivisions'!$D$57</definedName>
    <definedName name="R.6Header">'6OtherDivisions'!$D$2</definedName>
    <definedName name="R.6HighDollars">'6OtherDivisions'!$U$5</definedName>
    <definedName name="R.6HighHrs">'6OtherDivisions'!$U$3</definedName>
    <definedName name="R.6LowDollars">'6OtherDivisions'!$T$5</definedName>
    <definedName name="R.6LowHrs">'6OtherDivisions'!$T$3</definedName>
    <definedName name="R.6LQDevHrs1">'6OtherDivisions'!$S$13</definedName>
    <definedName name="R.6LQDevHrs2">'6OtherDivisions'!$S$14</definedName>
    <definedName name="R.6LQDevHrs3">'6OtherDivisions'!$S$15</definedName>
    <definedName name="R.6LQDevHrs4">'6OtherDivisions'!$S$16</definedName>
    <definedName name="R.6LQDevName1">'6OtherDivisions'!$D$13</definedName>
    <definedName name="R.6LQDevName2">'6OtherDivisions'!$D$14</definedName>
    <definedName name="R.6LQDevName3">'6OtherDivisions'!$D$15</definedName>
    <definedName name="R.6LQDevName4">'6OtherDivisions'!$D$16</definedName>
    <definedName name="R.6LQImpHrs1">'6OtherDivisions'!$S$20</definedName>
    <definedName name="R.6LQImpHrs2">'6OtherDivisions'!$S$21</definedName>
    <definedName name="R.6LQImpHrs3">'6OtherDivisions'!$S$22</definedName>
    <definedName name="R.6LQImpHrs4">'6OtherDivisions'!$S$23</definedName>
    <definedName name="R.6LQImpName1">'6OtherDivisions'!$D$20</definedName>
    <definedName name="R.6LQImpName2">'6OtherDivisions'!$D$21</definedName>
    <definedName name="R.6LQImpName3">'6OtherDivisions'!$D$22</definedName>
    <definedName name="R.6LQImpName4">'6OtherDivisions'!$D$23</definedName>
    <definedName name="R.6MSDDevHrs1">'6OtherDivisions'!$S$64</definedName>
    <definedName name="R.6MSDDevHrs2">'6OtherDivisions'!$S$65</definedName>
    <definedName name="R.6MSDDevHrs3">'6OtherDivisions'!$S$66</definedName>
    <definedName name="R.6MSDDevHrs4">'6OtherDivisions'!$S$67</definedName>
    <definedName name="R.6MSDDevName1">'6OtherDivisions'!$D$64</definedName>
    <definedName name="R.6MSDDevName2">'6OtherDivisions'!$D$65</definedName>
    <definedName name="R.6MSDDevName3">'6OtherDivisions'!$D$66</definedName>
    <definedName name="R.6MSDDevName4">'6OtherDivisions'!$D$67</definedName>
    <definedName name="R.6MSDImpHrs1">'6OtherDivisions'!$S$72</definedName>
    <definedName name="R.6MSDImpHrs2">'6OtherDivisions'!$S$73</definedName>
    <definedName name="R.6MSDImpHrs3">'6OtherDivisions'!$S$74</definedName>
    <definedName name="R.6MSDImpHrs4">'6OtherDivisions'!$S$75</definedName>
    <definedName name="R.6MSDImpName1">'6OtherDivisions'!$D$72</definedName>
    <definedName name="R.6MSDImpName2">'6OtherDivisions'!$D$73</definedName>
    <definedName name="R.6MSDImpName3">'6OtherDivisions'!$D$74</definedName>
    <definedName name="R.6MSDImpName4">'6OtherDivisions'!$D$75</definedName>
    <definedName name="R.6StaffCount">'6OtherDivisions'!$S$3</definedName>
    <definedName name="R.6WQDevHrs1">'6OtherDivisions'!$S$30</definedName>
    <definedName name="R.6WQDevHrs2">'6OtherDivisions'!$S$31</definedName>
    <definedName name="R.6WQDevHrs3">'6OtherDivisions'!$S$32</definedName>
    <definedName name="R.6WQDevHrs4">'6OtherDivisions'!$S$33</definedName>
    <definedName name="R.6WQDevName1">'6OtherDivisions'!$D$30</definedName>
    <definedName name="R.6WQDevName2">'6OtherDivisions'!$D$31</definedName>
    <definedName name="R.6WQDevName3">'6OtherDivisions'!$D$32</definedName>
    <definedName name="R.6WQDevName4">'6OtherDivisions'!$D$33</definedName>
    <definedName name="R.6WQImpHrs1">'6OtherDivisions'!$S$37</definedName>
    <definedName name="R.6WQImpHrs2">'6OtherDivisions'!$S$38</definedName>
    <definedName name="R.6WQImpHrs3">'6OtherDivisions'!$S$39</definedName>
    <definedName name="R.6WQImpHrs4">'6OtherDivisions'!$S$40</definedName>
    <definedName name="R.6WQImpName1">'6OtherDivisions'!$D$37</definedName>
    <definedName name="R.6WQImpName2">'6OtherDivisions'!$D$38</definedName>
    <definedName name="R.6WQImpName3">'6OtherDivisions'!$D$39</definedName>
    <definedName name="R.6WQImpName4">'6OtherDivisions'!$D$40</definedName>
    <definedName name="R.7EastDevHrs1">'7Regions'!$S$13</definedName>
    <definedName name="R.7EastDevHrs2">'7Regions'!$S$14</definedName>
    <definedName name="R.7EastDevHrs3">'7Regions'!$S$15</definedName>
    <definedName name="R.7EastDevHrs4">'7Regions'!$S$16</definedName>
    <definedName name="R.7EastDevName1">'7Regions'!$D$13</definedName>
    <definedName name="R.7EastDevName2">'7Regions'!$D$14</definedName>
    <definedName name="R.7EastDevName3">'7Regions'!$D$15</definedName>
    <definedName name="R.7EastDevName4">'7Regions'!$D$16</definedName>
    <definedName name="R.7EastImpHrs1">'7Regions'!$S$20</definedName>
    <definedName name="R.7EastImpHrs2">'7Regions'!$S$21</definedName>
    <definedName name="R.7EastImpHrs3">'7Regions'!$S$22</definedName>
    <definedName name="R.7EastImpHrs4">'7Regions'!$S$23</definedName>
    <definedName name="R.7EastImpName1">'7Regions'!$D$20</definedName>
    <definedName name="R.7EastImpName2">'7Regions'!$D$21</definedName>
    <definedName name="R.7EastImpName3">'7Regions'!$D$22</definedName>
    <definedName name="R.7EastImpName4">'7Regions'!$D$23</definedName>
    <definedName name="R.7Header">'7Regions'!$D$2</definedName>
    <definedName name="R.7HighDollars">'7Regions'!$U$6</definedName>
    <definedName name="R.7HighHrs">'7Regions'!$U$4</definedName>
    <definedName name="R.7LowDollars">'7Regions'!$T$6</definedName>
    <definedName name="R.7LowHrs">'7Regions'!$T$4</definedName>
    <definedName name="R.7NWRegionDevHrs1">'7Regions'!$S$45</definedName>
    <definedName name="R.7NWRegionDevHrs2">'7Regions'!$S$46</definedName>
    <definedName name="R.7NWRegionDevHrs3">'7Regions'!$S$47</definedName>
    <definedName name="R.7NWRegionDevHrs4">'7Regions'!$S$48</definedName>
    <definedName name="R.7NWRegionDevName1">'7Regions'!$D$45</definedName>
    <definedName name="R.7NWRegionDevName2">'7Regions'!$D$46</definedName>
    <definedName name="R.7NWRegionDevName3">'7Regions'!$D$47</definedName>
    <definedName name="R.7NWRegionDevName4">'7Regions'!$D$48</definedName>
    <definedName name="R.7NWRegionImpHrs1">'7Regions'!$S$52</definedName>
    <definedName name="R.7NWRegionImpHrs2">'7Regions'!$S$53</definedName>
    <definedName name="R.7NWRegionImpHrs3">'7Regions'!$S$54</definedName>
    <definedName name="R.7NWRegionImpHrs4">'7Regions'!$S$55</definedName>
    <definedName name="R.7NWRegionImpName1">'7Regions'!$D$52</definedName>
    <definedName name="R.7NWRegionImpName2">'7Regions'!$D$53</definedName>
    <definedName name="R.7NWRegionImpName3">'7Regions'!$D$54</definedName>
    <definedName name="R.7NWRegionImpName4">'7Regions'!$D$55</definedName>
    <definedName name="R.7StaffCount">'7Regions'!$S$4</definedName>
    <definedName name="R.7WestDevHrs1">'7Regions'!$S$29</definedName>
    <definedName name="R.7WestDevHrs2">'7Regions'!$S$30</definedName>
    <definedName name="R.7WestDevHrs3">'7Regions'!$S$31</definedName>
    <definedName name="R.7WestDevHrs4">'7Regions'!$S$32</definedName>
    <definedName name="R.7WestDevName1">'7Regions'!$D$29</definedName>
    <definedName name="R.7WestDevName2">'7Regions'!$D$30</definedName>
    <definedName name="R.7WestDevName3">'7Regions'!$D$31</definedName>
    <definedName name="R.7WestDevName4">'7Regions'!$D$32</definedName>
    <definedName name="R.7WestImpHrs1">'7Regions'!$S$36</definedName>
    <definedName name="R.7WestImpHrs2">'7Regions'!$S$37</definedName>
    <definedName name="R.7WestImpHrs3">'7Regions'!$S$38</definedName>
    <definedName name="R.7WestImpHrs4">'7Regions'!$S$39</definedName>
    <definedName name="R.7WestImpName1">'7Regions'!$D$36</definedName>
    <definedName name="R.7WestImpName2">'7Regions'!$D$37</definedName>
    <definedName name="R.7WestImpName3">'7Regions'!$D$38</definedName>
    <definedName name="R.7WestImpName4">'7Regions'!$D$39</definedName>
    <definedName name="R.8AcctDevHrs1">'8FinancialServices'!$S$31</definedName>
    <definedName name="R.8AcctDevHrs2">'8FinancialServices'!$S$32</definedName>
    <definedName name="R.8AcctDevHrs3">'8FinancialServices'!$S$33</definedName>
    <definedName name="R.8AcctDevHrs4">'8FinancialServices'!$S$34</definedName>
    <definedName name="R.8AcctDevName1">'8FinancialServices'!$D$31</definedName>
    <definedName name="R.8AcctDevName2">'8FinancialServices'!$D$32</definedName>
    <definedName name="R.8AcctDevName3">'8FinancialServices'!$D$33</definedName>
    <definedName name="R.8AcctDevName4">'8FinancialServices'!$D$34</definedName>
    <definedName name="R.8AcctImpHrs1">'8FinancialServices'!$S$38</definedName>
    <definedName name="R.8AcctImpHrs2">'8FinancialServices'!$S$39</definedName>
    <definedName name="R.8AcctImpHrs3">'8FinancialServices'!$S$40</definedName>
    <definedName name="R.8AcctImpHrs4">'8FinancialServices'!$S$41</definedName>
    <definedName name="R.8AcctImpName1">'8FinancialServices'!$D$38</definedName>
    <definedName name="R.8AcctImpName2">'8FinancialServices'!$D$39</definedName>
    <definedName name="R.8AcctImpName3">'8FinancialServices'!$D$40</definedName>
    <definedName name="R.8AcctImpName4">'8FinancialServices'!$D$41</definedName>
    <definedName name="R.8BudDevHrs1">'8FinancialServices'!$S$15</definedName>
    <definedName name="R.8BudDevHrs2">'8FinancialServices'!$S$16</definedName>
    <definedName name="R.8BudDevHrs3">'8FinancialServices'!$S$17</definedName>
    <definedName name="R.8BudDevHrs4">'8FinancialServices'!$S$18</definedName>
    <definedName name="R.8BudDevName1">'8FinancialServices'!$D$15</definedName>
    <definedName name="R.8BudDevName2">'8FinancialServices'!$D$16</definedName>
    <definedName name="R.8BudDevName3">'8FinancialServices'!$D$17</definedName>
    <definedName name="R.8BudDevName4">'8FinancialServices'!$D$18</definedName>
    <definedName name="R.8BudImpHrs1">'8FinancialServices'!$S$22</definedName>
    <definedName name="R.8BudImpHrs2">'8FinancialServices'!$S$23</definedName>
    <definedName name="R.8BudImpHrs3">'8FinancialServices'!$S$24</definedName>
    <definedName name="R.8BudImpHrs4">'8FinancialServices'!$S$25</definedName>
    <definedName name="R.8BudImpName1">'8FinancialServices'!$D$22</definedName>
    <definedName name="R.8BudImpName2">'8FinancialServices'!$D$23</definedName>
    <definedName name="R.8BudImpName3">'8FinancialServices'!$D$24</definedName>
    <definedName name="R.8BudImpName4">'8FinancialServices'!$D$25</definedName>
    <definedName name="R.8DContractDevHrs1">'8FinancialServices'!$S$47</definedName>
    <definedName name="R.8DContractDevHrs2">'8FinancialServices'!$S$48</definedName>
    <definedName name="R.8DContractDevHrs3">'8FinancialServices'!$S$49</definedName>
    <definedName name="R.8DContractDevHrs4">'8FinancialServices'!$S$50</definedName>
    <definedName name="R.8DContractDevName1">'8FinancialServices'!$D$47</definedName>
    <definedName name="R.8DContractDevName2">'8FinancialServices'!$D$48</definedName>
    <definedName name="R.8DContractDevName3">'8FinancialServices'!$D$49</definedName>
    <definedName name="R.8DContractDevName4">'8FinancialServices'!$D$50</definedName>
    <definedName name="R.8DContractImpHrs1">'8FinancialServices'!$S$54</definedName>
    <definedName name="R.8DContractImpHrs2">'8FinancialServices'!$S$55</definedName>
    <definedName name="R.8DContractImpHrs3">'8FinancialServices'!$S$56</definedName>
    <definedName name="R.8DContractImpHrs4">'8FinancialServices'!$S$57</definedName>
    <definedName name="R.8DContractImpName1">'8FinancialServices'!$D$54</definedName>
    <definedName name="R.8DContractImpName2">'8FinancialServices'!$D$55</definedName>
    <definedName name="R.8DContractImpName3">'8FinancialServices'!$D$56</definedName>
    <definedName name="R.8DContractImpName4">'8FinancialServices'!$D$57</definedName>
    <definedName name="R.8Header">'8FinancialServices'!$D$2</definedName>
    <definedName name="R.8HighDollars">'8FinancialServices'!$U$6</definedName>
    <definedName name="R.8HighHrs">'8FinancialServices'!$U$4</definedName>
    <definedName name="R.8LowDollars">'8FinancialServices'!$T$6</definedName>
    <definedName name="R.8LowHrs">'8FinancialServices'!$T$4</definedName>
    <definedName name="R.8StaffCount">'8FinancialServices'!$S$4</definedName>
    <definedName name="R.9ComStrategyDevHrs1">'9OCO'!$S$15</definedName>
    <definedName name="R.9ComStrategyDevHrs2">'9OCO'!$S$16</definedName>
    <definedName name="R.9ComStrategyDevHrs3">'9OCO'!$S$17</definedName>
    <definedName name="R.9ComStrategyDevHrs4">'9OCO'!$S$18</definedName>
    <definedName name="R.9ComStrategyDevName1">'9OCO'!$D$15</definedName>
    <definedName name="R.9ComStrategyDevName2">'9OCO'!$D$16</definedName>
    <definedName name="R.9ComStrategyDevName3">'9OCO'!$D$17</definedName>
    <definedName name="R.9ComStrategyDevName4">'9OCO'!$D$18</definedName>
    <definedName name="R.9ComStrategyImpHrs1">'9OCO'!$S$22</definedName>
    <definedName name="R.9ComStrategyImpHrs2">'9OCO'!$S$23</definedName>
    <definedName name="R.9ComStrategyImpHrs3">'9OCO'!$S$24</definedName>
    <definedName name="R.9ComStrategyImpHrs4">'9OCO'!$S$25</definedName>
    <definedName name="R.9ComStrategyImpName1">'9OCO'!$D$22</definedName>
    <definedName name="R.9ComStrategyImpName2">'9OCO'!$D$23</definedName>
    <definedName name="R.9ComStrategyImpName3">'9OCO'!$D$24</definedName>
    <definedName name="R.9ComStrategyImpName4">'9OCO'!$D$25</definedName>
    <definedName name="R.9Header">'9OCO'!$D$2</definedName>
    <definedName name="R.9HighDollars">'9OCO'!$U$6</definedName>
    <definedName name="R.9HighHrs">'9OCO'!$U$4</definedName>
    <definedName name="R.9LowDollars">'9OCO'!$T$6</definedName>
    <definedName name="R.9LowHrs">'9OCO'!$T$4</definedName>
    <definedName name="R.9PRDevHrs1">'9OCO'!$S$31</definedName>
    <definedName name="R.9PRDevHrs2">'9OCO'!$S$32</definedName>
    <definedName name="R.9PRDevHrs3">'9OCO'!$S$33</definedName>
    <definedName name="R.9PRDevHrs4">'9OCO'!$S$34</definedName>
    <definedName name="R.9PRDevName1">'9OCO'!$D$31</definedName>
    <definedName name="R.9PRDevName2">'9OCO'!$D$32</definedName>
    <definedName name="R.9PRDevName3">'9OCO'!$D$33</definedName>
    <definedName name="R.9PRDevName4">'9OCO'!$D$34</definedName>
    <definedName name="R.9PRImpHrs1">'9OCO'!$S$38</definedName>
    <definedName name="R.9PRImpHrs2">'9OCO'!$S$39</definedName>
    <definedName name="R.9PRImpHrs3">'9OCO'!$S$40</definedName>
    <definedName name="R.9PRImpHrs4">'9OCO'!$S$41</definedName>
    <definedName name="R.9PRImpName1">'9OCO'!$D$38</definedName>
    <definedName name="R.9PRImpName2">'9OCO'!$D$39</definedName>
    <definedName name="R.9PRImpName3">'9OCO'!$D$40</definedName>
    <definedName name="R.9PRImpName4">'9OCO'!$D$41</definedName>
    <definedName name="R.9StaffCount">'9OCO'!$S$4</definedName>
    <definedName name="R.9WebDevHrs1">'9OCO'!$S$47</definedName>
    <definedName name="R.9WebDevHrs2">'9OCO'!$S$48</definedName>
    <definedName name="R.9WebDevHrs3">'9OCO'!$S$49</definedName>
    <definedName name="R.9WebDevHrs4">'9OCO'!$S$50</definedName>
    <definedName name="R.9WebDevName1">'9OCO'!$D$47</definedName>
    <definedName name="R.9WebDevName2">'9OCO'!$D$48</definedName>
    <definedName name="R.9WebDevName3">'9OCO'!$D$49</definedName>
    <definedName name="R.9WebDevName4">'9OCO'!$D$50</definedName>
    <definedName name="R.9WebImpHrs1">'9OCO'!$S$54</definedName>
    <definedName name="R.9WebImpHrs2">'9OCO'!$S$55</definedName>
    <definedName name="R.9WebImpHrs3">'9OCO'!$S$56</definedName>
    <definedName name="R.9WebImpHrs4">'9OCO'!$S$57</definedName>
    <definedName name="R.9WebImpName1">'9OCO'!$D$54</definedName>
    <definedName name="R.9WebImpName2">'9OCO'!$D$55</definedName>
    <definedName name="R.9WebImpName3">'9OCO'!$D$56</definedName>
    <definedName name="R.9WebImpName4">'9OCO'!$D$57</definedName>
    <definedName name="R.AvgHrDEQCost">'1ProjectRecord'!$W$2</definedName>
    <definedName name="R.DDL_CoreTeam">DDLs!#REF!</definedName>
    <definedName name="R.DDL_DEQResourcesInvolved">DDLs!$A$15:$A$25</definedName>
    <definedName name="R.DDL_DEQStaffRank">DDLs!$A$30:$A$35</definedName>
    <definedName name="R.DDL_ProjectPhase">DDLs!$A$40:$A$41</definedName>
    <definedName name="R.DDL_WorkGroup">DDLs!$A$46:$A$59</definedName>
    <definedName name="R.DDL_YNNA">DDLs!$A$63:$A$66</definedName>
    <definedName name="R.VL_DEQResourceHours">DDLs!$B$15:$D$25</definedName>
    <definedName name="R.VL_DEQResourcesInvolved">DDLs!$A$15:$D$25</definedName>
  </definedNames>
  <calcPr calcId="125725"/>
</workbook>
</file>

<file path=xl/calcChain.xml><?xml version="1.0" encoding="utf-8"?>
<calcChain xmlns="http://schemas.openxmlformats.org/spreadsheetml/2006/main">
  <c r="G21" i="89"/>
  <c r="I222" i="120"/>
  <c r="I223"/>
  <c r="I224"/>
  <c r="I225"/>
  <c r="I226"/>
  <c r="I227"/>
  <c r="I228"/>
  <c r="I229"/>
  <c r="I230"/>
  <c r="I231"/>
  <c r="I232"/>
  <c r="I233"/>
  <c r="I234"/>
  <c r="I235"/>
  <c r="I236"/>
  <c r="I237"/>
  <c r="I238"/>
  <c r="I239"/>
  <c r="I240"/>
  <c r="I241"/>
  <c r="I242"/>
  <c r="I243"/>
  <c r="I244"/>
  <c r="I245"/>
  <c r="I246"/>
  <c r="I247"/>
  <c r="I248"/>
  <c r="I249"/>
  <c r="I250"/>
  <c r="I251"/>
  <c r="I252"/>
  <c r="I253"/>
  <c r="I254"/>
  <c r="I255"/>
  <c r="I256"/>
  <c r="I257"/>
  <c r="I258"/>
  <c r="I259"/>
  <c r="I260"/>
  <c r="I261"/>
  <c r="I262"/>
  <c r="I263"/>
  <c r="I264"/>
  <c r="I265"/>
  <c r="I266"/>
  <c r="I267"/>
  <c r="I268"/>
  <c r="I269"/>
  <c r="I270"/>
  <c r="I271"/>
  <c r="I272"/>
  <c r="I273"/>
  <c r="I274"/>
  <c r="I275"/>
  <c r="I276"/>
  <c r="I277"/>
  <c r="I278"/>
  <c r="I279"/>
  <c r="I280"/>
  <c r="I281"/>
  <c r="I282"/>
  <c r="I283"/>
  <c r="I284"/>
  <c r="I285"/>
  <c r="I286"/>
  <c r="I287"/>
  <c r="I288"/>
  <c r="I289"/>
  <c r="I290"/>
  <c r="I291"/>
  <c r="I292"/>
  <c r="I293"/>
  <c r="I294"/>
  <c r="I295"/>
  <c r="I296"/>
  <c r="I297"/>
  <c r="I298"/>
  <c r="I299"/>
  <c r="I300"/>
  <c r="I301"/>
  <c r="I302"/>
  <c r="I303"/>
  <c r="I304"/>
  <c r="I305"/>
  <c r="I306"/>
  <c r="I307"/>
  <c r="I308"/>
  <c r="I309"/>
  <c r="I310"/>
  <c r="I311"/>
  <c r="I312"/>
  <c r="I313"/>
  <c r="I314"/>
  <c r="J222"/>
  <c r="J223"/>
  <c r="J224"/>
  <c r="J225"/>
  <c r="J226"/>
  <c r="J227"/>
  <c r="J228"/>
  <c r="J229"/>
  <c r="J230"/>
  <c r="J231"/>
  <c r="J232"/>
  <c r="J233"/>
  <c r="J234"/>
  <c r="J235"/>
  <c r="J236"/>
  <c r="J237"/>
  <c r="J238"/>
  <c r="J239"/>
  <c r="J240"/>
  <c r="J241"/>
  <c r="J242"/>
  <c r="J243"/>
  <c r="J244"/>
  <c r="J245"/>
  <c r="J246"/>
  <c r="J247"/>
  <c r="J248"/>
  <c r="J249"/>
  <c r="J250"/>
  <c r="J251"/>
  <c r="J252"/>
  <c r="J253"/>
  <c r="J254"/>
  <c r="J255"/>
  <c r="J256"/>
  <c r="J257"/>
  <c r="J258"/>
  <c r="J259"/>
  <c r="J260"/>
  <c r="J261"/>
  <c r="J262"/>
  <c r="J263"/>
  <c r="J264"/>
  <c r="J265"/>
  <c r="J266"/>
  <c r="J267"/>
  <c r="J268"/>
  <c r="J269"/>
  <c r="J270"/>
  <c r="J271"/>
  <c r="J272"/>
  <c r="J273"/>
  <c r="J274"/>
  <c r="J275"/>
  <c r="J276"/>
  <c r="J277"/>
  <c r="J278"/>
  <c r="J279"/>
  <c r="J280"/>
  <c r="J281"/>
  <c r="J282"/>
  <c r="J283"/>
  <c r="J284"/>
  <c r="J285"/>
  <c r="J286"/>
  <c r="J287"/>
  <c r="J288"/>
  <c r="J289"/>
  <c r="J290"/>
  <c r="J291"/>
  <c r="J292"/>
  <c r="J293"/>
  <c r="I216"/>
  <c r="I217"/>
  <c r="I218"/>
  <c r="I219"/>
  <c r="I220"/>
  <c r="I221"/>
  <c r="J216"/>
  <c r="J217"/>
  <c r="J218"/>
  <c r="J219"/>
  <c r="J220"/>
  <c r="J221"/>
  <c r="J294"/>
  <c r="J295"/>
  <c r="J296"/>
  <c r="J297"/>
  <c r="J298"/>
  <c r="J299"/>
  <c r="J300"/>
  <c r="J301"/>
  <c r="J302"/>
  <c r="J303"/>
  <c r="J304"/>
  <c r="J305"/>
  <c r="J306"/>
  <c r="J307"/>
  <c r="J308"/>
  <c r="J309"/>
  <c r="J310"/>
  <c r="J311"/>
  <c r="I215"/>
  <c r="I203"/>
  <c r="I204"/>
  <c r="I205"/>
  <c r="I206"/>
  <c r="I207"/>
  <c r="I208"/>
  <c r="I209"/>
  <c r="I210"/>
  <c r="I211"/>
  <c r="I212"/>
  <c r="I213"/>
  <c r="J203"/>
  <c r="J204"/>
  <c r="J205"/>
  <c r="J206"/>
  <c r="J207"/>
  <c r="J208"/>
  <c r="J209"/>
  <c r="J210"/>
  <c r="J211"/>
  <c r="J212"/>
  <c r="J213"/>
  <c r="J214"/>
  <c r="J215"/>
  <c r="J312"/>
  <c r="J313"/>
  <c r="J314"/>
  <c r="I185"/>
  <c r="I186"/>
  <c r="I187"/>
  <c r="I188"/>
  <c r="I189"/>
  <c r="I190"/>
  <c r="I191"/>
  <c r="I192"/>
  <c r="I193"/>
  <c r="I194"/>
  <c r="I195"/>
  <c r="I196"/>
  <c r="I197"/>
  <c r="I198"/>
  <c r="I199"/>
  <c r="I200"/>
  <c r="I201"/>
  <c r="I202"/>
  <c r="J185"/>
  <c r="J186"/>
  <c r="J187"/>
  <c r="J188"/>
  <c r="J189"/>
  <c r="J190"/>
  <c r="J191"/>
  <c r="J192"/>
  <c r="J193"/>
  <c r="J194"/>
  <c r="J195"/>
  <c r="J196"/>
  <c r="J197"/>
  <c r="J198"/>
  <c r="J199"/>
  <c r="J200"/>
  <c r="J201"/>
  <c r="J202"/>
  <c r="V6" i="89"/>
  <c r="I174" i="120"/>
  <c r="I175"/>
  <c r="I176"/>
  <c r="I177"/>
  <c r="I178"/>
  <c r="I179"/>
  <c r="I180"/>
  <c r="I181"/>
  <c r="I182"/>
  <c r="I183"/>
  <c r="I184"/>
  <c r="J174"/>
  <c r="J175"/>
  <c r="J176"/>
  <c r="J177"/>
  <c r="J178"/>
  <c r="J179"/>
  <c r="J180"/>
  <c r="J181"/>
  <c r="J182"/>
  <c r="J183"/>
  <c r="J184"/>
  <c r="J123"/>
  <c r="J124"/>
  <c r="J125"/>
  <c r="J126"/>
  <c r="J127"/>
  <c r="J128"/>
  <c r="J129"/>
  <c r="J130"/>
  <c r="J131"/>
  <c r="J132"/>
  <c r="J133"/>
  <c r="I113"/>
  <c r="I114"/>
  <c r="I115"/>
  <c r="I116"/>
  <c r="I117"/>
  <c r="I118"/>
  <c r="I119"/>
  <c r="I120"/>
  <c r="I121"/>
  <c r="I122"/>
  <c r="I123"/>
  <c r="I124"/>
  <c r="I112"/>
  <c r="I104"/>
  <c r="I105"/>
  <c r="I106"/>
  <c r="I107"/>
  <c r="I108"/>
  <c r="I109"/>
  <c r="I110"/>
  <c r="I111"/>
  <c r="J99"/>
  <c r="J100"/>
  <c r="J101"/>
  <c r="J102"/>
  <c r="J103"/>
  <c r="J104"/>
  <c r="J105"/>
  <c r="J106"/>
  <c r="J107"/>
  <c r="J108"/>
  <c r="J109"/>
  <c r="J110"/>
  <c r="J111"/>
  <c r="J112"/>
  <c r="I99"/>
  <c r="I100"/>
  <c r="I101"/>
  <c r="I102"/>
  <c r="I103"/>
  <c r="I91"/>
  <c r="I92"/>
  <c r="I93"/>
  <c r="I94"/>
  <c r="I95"/>
  <c r="I96"/>
  <c r="I97"/>
  <c r="I98"/>
  <c r="I84"/>
  <c r="I85"/>
  <c r="I86"/>
  <c r="I87"/>
  <c r="I88"/>
  <c r="I89"/>
  <c r="I90"/>
  <c r="I125"/>
  <c r="I126"/>
  <c r="I127"/>
  <c r="I128"/>
  <c r="I129"/>
  <c r="I130"/>
  <c r="I131"/>
  <c r="I132"/>
  <c r="I133"/>
  <c r="I134"/>
  <c r="I135"/>
  <c r="I136"/>
  <c r="I137"/>
  <c r="I138"/>
  <c r="I139"/>
  <c r="I140"/>
  <c r="I141"/>
  <c r="I142"/>
  <c r="I143"/>
  <c r="I144"/>
  <c r="I145"/>
  <c r="I146"/>
  <c r="I147"/>
  <c r="I148"/>
  <c r="I149"/>
  <c r="I150"/>
  <c r="I151"/>
  <c r="I152"/>
  <c r="I153"/>
  <c r="I154"/>
  <c r="I155"/>
  <c r="I156"/>
  <c r="I157"/>
  <c r="I158"/>
  <c r="I159"/>
  <c r="I160"/>
  <c r="J113"/>
  <c r="J114"/>
  <c r="J115"/>
  <c r="J116"/>
  <c r="J117"/>
  <c r="J118"/>
  <c r="J119"/>
  <c r="J120"/>
  <c r="J121"/>
  <c r="J122"/>
  <c r="J134"/>
  <c r="J135"/>
  <c r="J136"/>
  <c r="J137"/>
  <c r="J138"/>
  <c r="J139"/>
  <c r="J140"/>
  <c r="J141"/>
  <c r="J142"/>
  <c r="J143"/>
  <c r="J144"/>
  <c r="J145"/>
  <c r="J146"/>
  <c r="J147"/>
  <c r="J148"/>
  <c r="J149"/>
  <c r="J150"/>
  <c r="J151"/>
  <c r="J152"/>
  <c r="J153"/>
  <c r="J154"/>
  <c r="J155"/>
  <c r="J156"/>
  <c r="J157"/>
  <c r="J158"/>
  <c r="J159"/>
  <c r="J160"/>
  <c r="J85"/>
  <c r="J86"/>
  <c r="J87"/>
  <c r="J88"/>
  <c r="J89"/>
  <c r="J90"/>
  <c r="J91"/>
  <c r="J92"/>
  <c r="J93"/>
  <c r="J94"/>
  <c r="J95"/>
  <c r="J96"/>
  <c r="J97"/>
  <c r="J98"/>
  <c r="I3"/>
  <c r="I4"/>
  <c r="I5"/>
  <c r="I6"/>
  <c r="I7"/>
  <c r="I8"/>
  <c r="I9"/>
  <c r="I10"/>
  <c r="I11"/>
  <c r="I12"/>
  <c r="I13"/>
  <c r="I14"/>
  <c r="I15"/>
  <c r="I16"/>
  <c r="I17"/>
  <c r="I18"/>
  <c r="I19"/>
  <c r="I20"/>
  <c r="I21"/>
  <c r="I22"/>
  <c r="I23"/>
  <c r="I24"/>
  <c r="I25"/>
  <c r="I26"/>
  <c r="I27"/>
  <c r="I28"/>
  <c r="I29"/>
  <c r="I30"/>
  <c r="I31"/>
  <c r="I32"/>
  <c r="I33"/>
  <c r="I34"/>
  <c r="I35"/>
  <c r="I36"/>
  <c r="I37"/>
  <c r="I39"/>
  <c r="I40"/>
  <c r="I41"/>
  <c r="I42"/>
  <c r="I43"/>
  <c r="I44"/>
  <c r="I45"/>
  <c r="I46"/>
  <c r="I47"/>
  <c r="I48"/>
  <c r="I49"/>
  <c r="I50"/>
  <c r="I51"/>
  <c r="I52"/>
  <c r="I53"/>
  <c r="I54"/>
  <c r="I55"/>
  <c r="I56"/>
  <c r="I57"/>
  <c r="I58"/>
  <c r="I59"/>
  <c r="I60"/>
  <c r="I61"/>
  <c r="I62"/>
  <c r="I63"/>
  <c r="I64"/>
  <c r="I65"/>
  <c r="I66"/>
  <c r="I67"/>
  <c r="I68"/>
  <c r="I69"/>
  <c r="I70"/>
  <c r="I71"/>
  <c r="I72"/>
  <c r="I73"/>
  <c r="I74"/>
  <c r="I75"/>
  <c r="I76"/>
  <c r="I77"/>
  <c r="I78"/>
  <c r="I79"/>
  <c r="I80"/>
  <c r="I81"/>
  <c r="I82"/>
  <c r="I83"/>
  <c r="J3"/>
  <c r="J4"/>
  <c r="J5"/>
  <c r="J6"/>
  <c r="J7"/>
  <c r="J8"/>
  <c r="J9"/>
  <c r="J10"/>
  <c r="J11"/>
  <c r="J12"/>
  <c r="J13"/>
  <c r="J14"/>
  <c r="J15"/>
  <c r="J16"/>
  <c r="J17"/>
  <c r="J18"/>
  <c r="J19"/>
  <c r="J20"/>
  <c r="J21"/>
  <c r="J22"/>
  <c r="J23"/>
  <c r="J24"/>
  <c r="J25"/>
  <c r="J26"/>
  <c r="J27"/>
  <c r="J28"/>
  <c r="J29"/>
  <c r="J30"/>
  <c r="J31"/>
  <c r="J32"/>
  <c r="J33"/>
  <c r="J34"/>
  <c r="J35"/>
  <c r="J36"/>
  <c r="J37"/>
  <c r="J39"/>
  <c r="J40"/>
  <c r="J41"/>
  <c r="J42"/>
  <c r="J43"/>
  <c r="J44"/>
  <c r="J45"/>
  <c r="J46"/>
  <c r="J47"/>
  <c r="J48"/>
  <c r="J49"/>
  <c r="J50"/>
  <c r="J51"/>
  <c r="J52"/>
  <c r="J53"/>
  <c r="J54"/>
  <c r="J55"/>
  <c r="J56"/>
  <c r="J57"/>
  <c r="J58"/>
  <c r="J59"/>
  <c r="J60"/>
  <c r="J61"/>
  <c r="J62"/>
  <c r="J63"/>
  <c r="J64"/>
  <c r="J65"/>
  <c r="J66"/>
  <c r="J67"/>
  <c r="J68"/>
  <c r="J69"/>
  <c r="J70"/>
  <c r="J71"/>
  <c r="J72"/>
  <c r="J73"/>
  <c r="J74"/>
  <c r="J75"/>
  <c r="J76"/>
  <c r="J77"/>
  <c r="J78"/>
  <c r="J79"/>
  <c r="J80"/>
  <c r="J81"/>
  <c r="J82"/>
  <c r="J83"/>
  <c r="J84"/>
  <c r="J161"/>
  <c r="J162"/>
  <c r="J163"/>
  <c r="J164"/>
  <c r="J165"/>
  <c r="J166"/>
  <c r="J167"/>
  <c r="J168"/>
  <c r="J169"/>
  <c r="J170"/>
  <c r="J171"/>
  <c r="J172"/>
  <c r="J173"/>
  <c r="F264" i="119" l="1"/>
  <c r="F263"/>
  <c r="F262"/>
  <c r="F261"/>
  <c r="F260"/>
  <c r="F259"/>
  <c r="F258"/>
  <c r="F257"/>
  <c r="F256"/>
  <c r="F255"/>
  <c r="F254"/>
  <c r="F253"/>
  <c r="F252"/>
  <c r="F251"/>
  <c r="F250"/>
  <c r="F249"/>
  <c r="F248"/>
  <c r="F247"/>
  <c r="F246"/>
  <c r="F245"/>
  <c r="F244"/>
  <c r="F243"/>
  <c r="F242"/>
  <c r="F241"/>
  <c r="F240"/>
  <c r="F239"/>
  <c r="F238"/>
  <c r="F237"/>
  <c r="F236"/>
  <c r="F235"/>
  <c r="F234"/>
  <c r="F233"/>
  <c r="F230"/>
  <c r="F231"/>
  <c r="F232"/>
  <c r="F229"/>
  <c r="F228"/>
  <c r="F227"/>
  <c r="F226"/>
  <c r="F225"/>
  <c r="H223"/>
  <c r="F224"/>
  <c r="F223"/>
  <c r="F222"/>
  <c r="F221"/>
  <c r="F220"/>
  <c r="F219"/>
  <c r="F218"/>
  <c r="F217"/>
  <c r="H217"/>
  <c r="J217" s="1"/>
  <c r="H265"/>
  <c r="J265" s="1"/>
  <c r="H266"/>
  <c r="J266" s="1"/>
  <c r="H267"/>
  <c r="J267" s="1"/>
  <c r="H268"/>
  <c r="I268" s="1"/>
  <c r="H269"/>
  <c r="I269" s="1"/>
  <c r="H270"/>
  <c r="J270" s="1"/>
  <c r="H271"/>
  <c r="J271" s="1"/>
  <c r="H272"/>
  <c r="J272" s="1"/>
  <c r="H273"/>
  <c r="I273" s="1"/>
  <c r="H274"/>
  <c r="J274" s="1"/>
  <c r="H275"/>
  <c r="J275" s="1"/>
  <c r="H276"/>
  <c r="I276" s="1"/>
  <c r="H277"/>
  <c r="J277" s="1"/>
  <c r="H278"/>
  <c r="I278" s="1"/>
  <c r="H279"/>
  <c r="I279" s="1"/>
  <c r="H280"/>
  <c r="I280" s="1"/>
  <c r="H281"/>
  <c r="J281" s="1"/>
  <c r="H282"/>
  <c r="J282" s="1"/>
  <c r="H283"/>
  <c r="J283" s="1"/>
  <c r="H284"/>
  <c r="I284" s="1"/>
  <c r="H285"/>
  <c r="I285" s="1"/>
  <c r="H286"/>
  <c r="J286" s="1"/>
  <c r="H287"/>
  <c r="J287" s="1"/>
  <c r="H288"/>
  <c r="J288" s="1"/>
  <c r="H289"/>
  <c r="J289" s="1"/>
  <c r="H290"/>
  <c r="J290" s="1"/>
  <c r="H291"/>
  <c r="J291" s="1"/>
  <c r="H292"/>
  <c r="I292" s="1"/>
  <c r="H293"/>
  <c r="I293" s="1"/>
  <c r="H294"/>
  <c r="I294" s="1"/>
  <c r="H295"/>
  <c r="I295" s="1"/>
  <c r="H296"/>
  <c r="I296" s="1"/>
  <c r="I271"/>
  <c r="I286"/>
  <c r="I287"/>
  <c r="I217"/>
  <c r="I288"/>
  <c r="I289"/>
  <c r="I290"/>
  <c r="I291"/>
  <c r="T15" i="117"/>
  <c r="F216" i="119"/>
  <c r="F215"/>
  <c r="F214"/>
  <c r="F213"/>
  <c r="F212"/>
  <c r="F211"/>
  <c r="F210"/>
  <c r="F209"/>
  <c r="F208"/>
  <c r="F207"/>
  <c r="F206"/>
  <c r="F205"/>
  <c r="F204"/>
  <c r="F203"/>
  <c r="F202"/>
  <c r="F201"/>
  <c r="F200"/>
  <c r="F199"/>
  <c r="F198"/>
  <c r="F197"/>
  <c r="F196"/>
  <c r="F195"/>
  <c r="F194"/>
  <c r="F193"/>
  <c r="F192"/>
  <c r="F191"/>
  <c r="F190"/>
  <c r="F189"/>
  <c r="F188"/>
  <c r="F187"/>
  <c r="F186"/>
  <c r="F185"/>
  <c r="D290"/>
  <c r="D291"/>
  <c r="D292"/>
  <c r="D293"/>
  <c r="D294"/>
  <c r="D295"/>
  <c r="D296"/>
  <c r="D289"/>
  <c r="D282"/>
  <c r="D283"/>
  <c r="D284"/>
  <c r="D285"/>
  <c r="D286"/>
  <c r="D287"/>
  <c r="D288"/>
  <c r="D281"/>
  <c r="A281"/>
  <c r="A282"/>
  <c r="A283"/>
  <c r="A284"/>
  <c r="A285"/>
  <c r="A286"/>
  <c r="B281"/>
  <c r="B282"/>
  <c r="B283"/>
  <c r="B284"/>
  <c r="B285"/>
  <c r="B286"/>
  <c r="F281"/>
  <c r="F282"/>
  <c r="F283"/>
  <c r="F284"/>
  <c r="F285"/>
  <c r="F286"/>
  <c r="A287"/>
  <c r="A288"/>
  <c r="A289"/>
  <c r="A290"/>
  <c r="A291"/>
  <c r="A292"/>
  <c r="B287"/>
  <c r="B288"/>
  <c r="B289"/>
  <c r="B290"/>
  <c r="B291"/>
  <c r="B292"/>
  <c r="F287"/>
  <c r="F288"/>
  <c r="F289"/>
  <c r="F290"/>
  <c r="F291"/>
  <c r="F292"/>
  <c r="A293"/>
  <c r="A294"/>
  <c r="A295"/>
  <c r="A296"/>
  <c r="B293"/>
  <c r="B294"/>
  <c r="B295"/>
  <c r="B296"/>
  <c r="F293"/>
  <c r="F294"/>
  <c r="F295"/>
  <c r="F296"/>
  <c r="D274"/>
  <c r="D275"/>
  <c r="D276"/>
  <c r="D277"/>
  <c r="D278"/>
  <c r="D279"/>
  <c r="D280"/>
  <c r="D273"/>
  <c r="D266"/>
  <c r="D267"/>
  <c r="D268"/>
  <c r="D269"/>
  <c r="D270"/>
  <c r="D271"/>
  <c r="D272"/>
  <c r="D265"/>
  <c r="A267"/>
  <c r="A268"/>
  <c r="A269"/>
  <c r="B267"/>
  <c r="B268"/>
  <c r="B269"/>
  <c r="F267"/>
  <c r="F268"/>
  <c r="F269"/>
  <c r="A270"/>
  <c r="A271"/>
  <c r="A272"/>
  <c r="B270"/>
  <c r="B271"/>
  <c r="B272"/>
  <c r="F270"/>
  <c r="F271"/>
  <c r="F272"/>
  <c r="A273"/>
  <c r="A274"/>
  <c r="A275"/>
  <c r="B273"/>
  <c r="B274"/>
  <c r="B275"/>
  <c r="F273"/>
  <c r="F274"/>
  <c r="F275"/>
  <c r="A276"/>
  <c r="A277"/>
  <c r="A278"/>
  <c r="B276"/>
  <c r="B277"/>
  <c r="B278"/>
  <c r="F276"/>
  <c r="F277"/>
  <c r="F278"/>
  <c r="A279"/>
  <c r="A280"/>
  <c r="B279"/>
  <c r="B280"/>
  <c r="F279"/>
  <c r="F280"/>
  <c r="A249"/>
  <c r="A250"/>
  <c r="A251"/>
  <c r="A252"/>
  <c r="A253"/>
  <c r="B249"/>
  <c r="B250"/>
  <c r="B251"/>
  <c r="B252"/>
  <c r="B253"/>
  <c r="A254"/>
  <c r="A255"/>
  <c r="A256"/>
  <c r="A257"/>
  <c r="A258"/>
  <c r="B254"/>
  <c r="B255"/>
  <c r="B256"/>
  <c r="B257"/>
  <c r="B258"/>
  <c r="A259"/>
  <c r="A260"/>
  <c r="A261"/>
  <c r="A262"/>
  <c r="A263"/>
  <c r="B259"/>
  <c r="B260"/>
  <c r="B261"/>
  <c r="B262"/>
  <c r="B263"/>
  <c r="A241"/>
  <c r="A242"/>
  <c r="A243"/>
  <c r="B241"/>
  <c r="B242"/>
  <c r="B243"/>
  <c r="A244"/>
  <c r="A245"/>
  <c r="A246"/>
  <c r="B244"/>
  <c r="B245"/>
  <c r="B246"/>
  <c r="A247"/>
  <c r="A248"/>
  <c r="A264"/>
  <c r="B247"/>
  <c r="B248"/>
  <c r="B264"/>
  <c r="A265"/>
  <c r="A266"/>
  <c r="B265"/>
  <c r="B266"/>
  <c r="F265"/>
  <c r="F266"/>
  <c r="A218"/>
  <c r="A219"/>
  <c r="A220"/>
  <c r="A221"/>
  <c r="A222"/>
  <c r="A223"/>
  <c r="A224"/>
  <c r="A225"/>
  <c r="A226"/>
  <c r="A227"/>
  <c r="B218"/>
  <c r="B219"/>
  <c r="B220"/>
  <c r="B221"/>
  <c r="B222"/>
  <c r="B223"/>
  <c r="B224"/>
  <c r="B225"/>
  <c r="B226"/>
  <c r="B227"/>
  <c r="A211"/>
  <c r="A212"/>
  <c r="A213"/>
  <c r="A214"/>
  <c r="A215"/>
  <c r="A216"/>
  <c r="A217"/>
  <c r="B211"/>
  <c r="B212"/>
  <c r="B213"/>
  <c r="B214"/>
  <c r="B215"/>
  <c r="B216"/>
  <c r="B217"/>
  <c r="A228"/>
  <c r="A229"/>
  <c r="A230"/>
  <c r="A231"/>
  <c r="A232"/>
  <c r="A233"/>
  <c r="A234"/>
  <c r="B228"/>
  <c r="B229"/>
  <c r="B230"/>
  <c r="B231"/>
  <c r="B232"/>
  <c r="B233"/>
  <c r="B234"/>
  <c r="A196"/>
  <c r="A197"/>
  <c r="A198"/>
  <c r="A199"/>
  <c r="A200"/>
  <c r="A201"/>
  <c r="A202"/>
  <c r="A203"/>
  <c r="A204"/>
  <c r="A205"/>
  <c r="B196"/>
  <c r="B197"/>
  <c r="B198"/>
  <c r="B199"/>
  <c r="B200"/>
  <c r="B201"/>
  <c r="B202"/>
  <c r="B203"/>
  <c r="B204"/>
  <c r="B205"/>
  <c r="A195"/>
  <c r="A206"/>
  <c r="A207"/>
  <c r="B195"/>
  <c r="B206"/>
  <c r="B207"/>
  <c r="A208"/>
  <c r="A209"/>
  <c r="A210"/>
  <c r="B208"/>
  <c r="B209"/>
  <c r="B210"/>
  <c r="A235"/>
  <c r="A236"/>
  <c r="A237"/>
  <c r="B235"/>
  <c r="B236"/>
  <c r="B237"/>
  <c r="A238"/>
  <c r="A239"/>
  <c r="A240"/>
  <c r="B238"/>
  <c r="B239"/>
  <c r="B240"/>
  <c r="F184"/>
  <c r="F183"/>
  <c r="F182"/>
  <c r="F181"/>
  <c r="F180"/>
  <c r="F179"/>
  <c r="F178"/>
  <c r="F177"/>
  <c r="F176"/>
  <c r="F175"/>
  <c r="F174"/>
  <c r="F173"/>
  <c r="F172"/>
  <c r="F171"/>
  <c r="F170"/>
  <c r="F169"/>
  <c r="F168"/>
  <c r="F167"/>
  <c r="F166"/>
  <c r="F165"/>
  <c r="F164"/>
  <c r="F163"/>
  <c r="F162"/>
  <c r="F161"/>
  <c r="A162"/>
  <c r="A163"/>
  <c r="A164"/>
  <c r="A165"/>
  <c r="A166"/>
  <c r="A167"/>
  <c r="A168"/>
  <c r="A169"/>
  <c r="A170"/>
  <c r="A171"/>
  <c r="A172"/>
  <c r="A173"/>
  <c r="B162"/>
  <c r="B163"/>
  <c r="B164"/>
  <c r="B165"/>
  <c r="B166"/>
  <c r="B167"/>
  <c r="B168"/>
  <c r="B169"/>
  <c r="B170"/>
  <c r="B171"/>
  <c r="B172"/>
  <c r="B173"/>
  <c r="A174"/>
  <c r="A175"/>
  <c r="A176"/>
  <c r="A177"/>
  <c r="A178"/>
  <c r="A179"/>
  <c r="A180"/>
  <c r="A181"/>
  <c r="A182"/>
  <c r="A183"/>
  <c r="A184"/>
  <c r="A185"/>
  <c r="B174"/>
  <c r="B175"/>
  <c r="B176"/>
  <c r="B177"/>
  <c r="B178"/>
  <c r="B179"/>
  <c r="B180"/>
  <c r="B181"/>
  <c r="B182"/>
  <c r="B183"/>
  <c r="B184"/>
  <c r="B185"/>
  <c r="F160"/>
  <c r="F159"/>
  <c r="F158"/>
  <c r="F157"/>
  <c r="F156"/>
  <c r="F155"/>
  <c r="F154"/>
  <c r="F153"/>
  <c r="F152"/>
  <c r="F151"/>
  <c r="F150"/>
  <c r="F149"/>
  <c r="F148"/>
  <c r="F147"/>
  <c r="F146"/>
  <c r="F145"/>
  <c r="F144"/>
  <c r="F143"/>
  <c r="F142"/>
  <c r="F141"/>
  <c r="F140"/>
  <c r="F139"/>
  <c r="F138"/>
  <c r="F137"/>
  <c r="F136"/>
  <c r="F135"/>
  <c r="F134"/>
  <c r="F133"/>
  <c r="F132"/>
  <c r="F131"/>
  <c r="F130"/>
  <c r="F129"/>
  <c r="A159"/>
  <c r="A160"/>
  <c r="A161"/>
  <c r="A186"/>
  <c r="B159"/>
  <c r="B160"/>
  <c r="B161"/>
  <c r="B186"/>
  <c r="A187"/>
  <c r="A188"/>
  <c r="A189"/>
  <c r="A190"/>
  <c r="B187"/>
  <c r="B188"/>
  <c r="B189"/>
  <c r="B190"/>
  <c r="A191"/>
  <c r="A192"/>
  <c r="A193"/>
  <c r="A194"/>
  <c r="B191"/>
  <c r="B192"/>
  <c r="B193"/>
  <c r="B194"/>
  <c r="F128"/>
  <c r="F127"/>
  <c r="F126"/>
  <c r="F125"/>
  <c r="F124"/>
  <c r="F123"/>
  <c r="F122"/>
  <c r="F121"/>
  <c r="F120"/>
  <c r="F119"/>
  <c r="F118"/>
  <c r="F117"/>
  <c r="F116"/>
  <c r="F115"/>
  <c r="F114"/>
  <c r="F113"/>
  <c r="A113"/>
  <c r="A114"/>
  <c r="A115"/>
  <c r="A116"/>
  <c r="A117"/>
  <c r="A118"/>
  <c r="A119"/>
  <c r="A120"/>
  <c r="A121"/>
  <c r="A122"/>
  <c r="A123"/>
  <c r="A124"/>
  <c r="B113"/>
  <c r="B114"/>
  <c r="B115"/>
  <c r="B116"/>
  <c r="B117"/>
  <c r="B118"/>
  <c r="B119"/>
  <c r="B120"/>
  <c r="B121"/>
  <c r="B122"/>
  <c r="B123"/>
  <c r="B124"/>
  <c r="A125"/>
  <c r="A126"/>
  <c r="A127"/>
  <c r="A128"/>
  <c r="A129"/>
  <c r="A130"/>
  <c r="A131"/>
  <c r="A132"/>
  <c r="A133"/>
  <c r="A134"/>
  <c r="A135"/>
  <c r="A136"/>
  <c r="B125"/>
  <c r="B126"/>
  <c r="B127"/>
  <c r="B128"/>
  <c r="B129"/>
  <c r="B130"/>
  <c r="B131"/>
  <c r="B132"/>
  <c r="B133"/>
  <c r="B134"/>
  <c r="B135"/>
  <c r="B136"/>
  <c r="A137"/>
  <c r="A138"/>
  <c r="A139"/>
  <c r="A140"/>
  <c r="A141"/>
  <c r="A142"/>
  <c r="A143"/>
  <c r="A144"/>
  <c r="A145"/>
  <c r="A146"/>
  <c r="A147"/>
  <c r="A148"/>
  <c r="B137"/>
  <c r="B138"/>
  <c r="B139"/>
  <c r="B140"/>
  <c r="B141"/>
  <c r="B142"/>
  <c r="B143"/>
  <c r="B144"/>
  <c r="B145"/>
  <c r="B146"/>
  <c r="B147"/>
  <c r="B148"/>
  <c r="F112"/>
  <c r="F111"/>
  <c r="F110"/>
  <c r="F109"/>
  <c r="F108"/>
  <c r="F107"/>
  <c r="F106"/>
  <c r="F105"/>
  <c r="F104"/>
  <c r="F103"/>
  <c r="F102"/>
  <c r="F101"/>
  <c r="F100"/>
  <c r="F99"/>
  <c r="F98"/>
  <c r="F97"/>
  <c r="F93"/>
  <c r="F96"/>
  <c r="F95"/>
  <c r="F94"/>
  <c r="F92"/>
  <c r="F91"/>
  <c r="F90"/>
  <c r="F89"/>
  <c r="F88"/>
  <c r="F87"/>
  <c r="F86"/>
  <c r="F85"/>
  <c r="F84"/>
  <c r="F83"/>
  <c r="F82"/>
  <c r="F81"/>
  <c r="F80"/>
  <c r="F79"/>
  <c r="F78"/>
  <c r="F77"/>
  <c r="F76"/>
  <c r="F75"/>
  <c r="F74"/>
  <c r="F73"/>
  <c r="F72"/>
  <c r="F71"/>
  <c r="F70"/>
  <c r="F69"/>
  <c r="F68"/>
  <c r="F67"/>
  <c r="F66"/>
  <c r="F65"/>
  <c r="F64"/>
  <c r="F63"/>
  <c r="F62"/>
  <c r="F61"/>
  <c r="F60"/>
  <c r="F59"/>
  <c r="F58"/>
  <c r="F57"/>
  <c r="F56"/>
  <c r="F55"/>
  <c r="F54"/>
  <c r="F53"/>
  <c r="F52"/>
  <c r="F51"/>
  <c r="F50"/>
  <c r="F49"/>
  <c r="F48"/>
  <c r="F47"/>
  <c r="F46"/>
  <c r="F45"/>
  <c r="F44"/>
  <c r="F43"/>
  <c r="F42"/>
  <c r="F41"/>
  <c r="F40"/>
  <c r="F39"/>
  <c r="F38"/>
  <c r="F37"/>
  <c r="F36"/>
  <c r="F35"/>
  <c r="F34"/>
  <c r="F33"/>
  <c r="F32"/>
  <c r="F31"/>
  <c r="F30"/>
  <c r="F29"/>
  <c r="F28"/>
  <c r="F27"/>
  <c r="F26"/>
  <c r="F25"/>
  <c r="F24"/>
  <c r="F23"/>
  <c r="F22"/>
  <c r="F21"/>
  <c r="B158"/>
  <c r="B157"/>
  <c r="B156"/>
  <c r="B155"/>
  <c r="B154"/>
  <c r="B153"/>
  <c r="B152"/>
  <c r="B151"/>
  <c r="B150"/>
  <c r="B149"/>
  <c r="B112"/>
  <c r="B111"/>
  <c r="B110"/>
  <c r="B109"/>
  <c r="B108"/>
  <c r="B107"/>
  <c r="B106"/>
  <c r="B105"/>
  <c r="B104"/>
  <c r="B103"/>
  <c r="B102"/>
  <c r="B101"/>
  <c r="B100"/>
  <c r="B99"/>
  <c r="B98"/>
  <c r="B97"/>
  <c r="B96"/>
  <c r="B95"/>
  <c r="B94"/>
  <c r="B93"/>
  <c r="B92"/>
  <c r="B91"/>
  <c r="B90"/>
  <c r="B89"/>
  <c r="B88"/>
  <c r="B87"/>
  <c r="B86"/>
  <c r="B85"/>
  <c r="B84"/>
  <c r="B83"/>
  <c r="B82"/>
  <c r="B81"/>
  <c r="B80"/>
  <c r="B79"/>
  <c r="B78"/>
  <c r="B77"/>
  <c r="B76"/>
  <c r="B75"/>
  <c r="B74"/>
  <c r="B73"/>
  <c r="B72"/>
  <c r="B71"/>
  <c r="B70"/>
  <c r="B69"/>
  <c r="B68"/>
  <c r="B67"/>
  <c r="B66"/>
  <c r="B65"/>
  <c r="B64"/>
  <c r="B63"/>
  <c r="B62"/>
  <c r="B61"/>
  <c r="B60"/>
  <c r="B59"/>
  <c r="B58"/>
  <c r="B57"/>
  <c r="B56"/>
  <c r="B55"/>
  <c r="B54"/>
  <c r="B53"/>
  <c r="B52"/>
  <c r="B51"/>
  <c r="B50"/>
  <c r="B49"/>
  <c r="B48"/>
  <c r="B47"/>
  <c r="B46"/>
  <c r="B45"/>
  <c r="B44"/>
  <c r="B43"/>
  <c r="B42"/>
  <c r="B41"/>
  <c r="B40"/>
  <c r="B39"/>
  <c r="B38"/>
  <c r="B37"/>
  <c r="B36"/>
  <c r="B35"/>
  <c r="B34"/>
  <c r="B33"/>
  <c r="B32"/>
  <c r="B31"/>
  <c r="B30"/>
  <c r="B29"/>
  <c r="B28"/>
  <c r="B27"/>
  <c r="B26"/>
  <c r="B25"/>
  <c r="B24"/>
  <c r="B23"/>
  <c r="B22"/>
  <c r="B21"/>
  <c r="B20"/>
  <c r="B19"/>
  <c r="B18"/>
  <c r="B17"/>
  <c r="B16"/>
  <c r="B15"/>
  <c r="B14"/>
  <c r="B13"/>
  <c r="B12"/>
  <c r="B11"/>
  <c r="B10"/>
  <c r="B9"/>
  <c r="B8"/>
  <c r="B7"/>
  <c r="B6"/>
  <c r="B5"/>
  <c r="B4"/>
  <c r="B3"/>
  <c r="F20"/>
  <c r="F19"/>
  <c r="F18"/>
  <c r="F17"/>
  <c r="F16"/>
  <c r="F15"/>
  <c r="F13"/>
  <c r="F14"/>
  <c r="A3"/>
  <c r="A4"/>
  <c r="A5"/>
  <c r="A6"/>
  <c r="A7"/>
  <c r="A8"/>
  <c r="A9"/>
  <c r="A10"/>
  <c r="A11"/>
  <c r="A12"/>
  <c r="A13"/>
  <c r="A14"/>
  <c r="A15"/>
  <c r="A16"/>
  <c r="A17"/>
  <c r="A18"/>
  <c r="A19"/>
  <c r="A20"/>
  <c r="A21"/>
  <c r="A22"/>
  <c r="A23"/>
  <c r="A24"/>
  <c r="A25"/>
  <c r="A26"/>
  <c r="A27"/>
  <c r="A28"/>
  <c r="A29"/>
  <c r="A30"/>
  <c r="A31"/>
  <c r="A32"/>
  <c r="A33"/>
  <c r="A34"/>
  <c r="A35"/>
  <c r="A36"/>
  <c r="A37"/>
  <c r="A38"/>
  <c r="A39"/>
  <c r="A40"/>
  <c r="A41"/>
  <c r="A42"/>
  <c r="A43"/>
  <c r="A44"/>
  <c r="A45"/>
  <c r="A46"/>
  <c r="A47"/>
  <c r="A48"/>
  <c r="A49"/>
  <c r="A50"/>
  <c r="A51"/>
  <c r="A52"/>
  <c r="A53"/>
  <c r="A54"/>
  <c r="A55"/>
  <c r="A56"/>
  <c r="A57"/>
  <c r="A58"/>
  <c r="A59"/>
  <c r="A60"/>
  <c r="A61"/>
  <c r="A62"/>
  <c r="A63"/>
  <c r="A64"/>
  <c r="A65"/>
  <c r="A66"/>
  <c r="A67"/>
  <c r="A68"/>
  <c r="A69"/>
  <c r="A70"/>
  <c r="A71"/>
  <c r="A72"/>
  <c r="A73"/>
  <c r="A74"/>
  <c r="A75"/>
  <c r="A76"/>
  <c r="A77"/>
  <c r="A78"/>
  <c r="A79"/>
  <c r="A80"/>
  <c r="A81"/>
  <c r="A82"/>
  <c r="A83"/>
  <c r="A84"/>
  <c r="A85"/>
  <c r="A86"/>
  <c r="A87"/>
  <c r="A88"/>
  <c r="A89"/>
  <c r="A90"/>
  <c r="A91"/>
  <c r="A92"/>
  <c r="A93"/>
  <c r="A94"/>
  <c r="A95"/>
  <c r="A96"/>
  <c r="A97"/>
  <c r="A98"/>
  <c r="A99"/>
  <c r="A100"/>
  <c r="A101"/>
  <c r="A102"/>
  <c r="A103"/>
  <c r="A104"/>
  <c r="A105"/>
  <c r="A106"/>
  <c r="A107"/>
  <c r="A108"/>
  <c r="A109"/>
  <c r="A110"/>
  <c r="A111"/>
  <c r="A112"/>
  <c r="A149"/>
  <c r="A150"/>
  <c r="A151"/>
  <c r="A152"/>
  <c r="A153"/>
  <c r="A154"/>
  <c r="A155"/>
  <c r="A156"/>
  <c r="A157"/>
  <c r="A158"/>
  <c r="F12"/>
  <c r="F11"/>
  <c r="F10"/>
  <c r="F8"/>
  <c r="F9"/>
  <c r="F7"/>
  <c r="F6"/>
  <c r="F5"/>
  <c r="F4"/>
  <c r="F3"/>
  <c r="D14"/>
  <c r="D13"/>
  <c r="D9"/>
  <c r="D8"/>
  <c r="S48" i="105"/>
  <c r="G76" i="119" s="1"/>
  <c r="H76" s="1"/>
  <c r="H22" i="88"/>
  <c r="E22"/>
  <c r="T14" i="109"/>
  <c r="S14"/>
  <c r="U14" s="1"/>
  <c r="T16"/>
  <c r="S16"/>
  <c r="U16" s="1"/>
  <c r="T17"/>
  <c r="S17"/>
  <c r="U17" s="1"/>
  <c r="T15"/>
  <c r="S15"/>
  <c r="U15" s="1"/>
  <c r="T18"/>
  <c r="S18"/>
  <c r="U18" s="1"/>
  <c r="I272" i="119" l="1"/>
  <c r="J296"/>
  <c r="J279"/>
  <c r="J295"/>
  <c r="J280"/>
  <c r="G19"/>
  <c r="H19" s="1"/>
  <c r="I281"/>
  <c r="J273"/>
  <c r="G18"/>
  <c r="H18" s="1"/>
  <c r="I282"/>
  <c r="I265"/>
  <c r="G16"/>
  <c r="H16" s="1"/>
  <c r="I283"/>
  <c r="I266"/>
  <c r="I274"/>
  <c r="I275"/>
  <c r="I267"/>
  <c r="I76"/>
  <c r="J76"/>
  <c r="I277"/>
  <c r="J292"/>
  <c r="J284"/>
  <c r="J276"/>
  <c r="J268"/>
  <c r="J293"/>
  <c r="J285"/>
  <c r="J269"/>
  <c r="I270"/>
  <c r="J294"/>
  <c r="J278"/>
  <c r="I223"/>
  <c r="J223"/>
  <c r="G20"/>
  <c r="H20" s="1"/>
  <c r="G17"/>
  <c r="H17" s="1"/>
  <c r="V18" i="109"/>
  <c r="V15"/>
  <c r="V17"/>
  <c r="V16"/>
  <c r="V14"/>
  <c r="V4" i="89"/>
  <c r="G20"/>
  <c r="H7"/>
  <c r="H19"/>
  <c r="H8"/>
  <c r="H9"/>
  <c r="H10"/>
  <c r="G12"/>
  <c r="G13"/>
  <c r="G18" s="1"/>
  <c r="G15"/>
  <c r="G14"/>
  <c r="D4" i="88"/>
  <c r="D9"/>
  <c r="E2" i="114" l="1"/>
  <c r="E2" i="117"/>
  <c r="E2" i="112"/>
  <c r="E2" i="95"/>
  <c r="E2" i="106"/>
  <c r="E2" i="108"/>
  <c r="F2" i="90"/>
  <c r="E2" i="116"/>
  <c r="E2" i="115"/>
  <c r="E2" i="113"/>
  <c r="E2" i="110"/>
  <c r="E2" i="105"/>
  <c r="E2" i="109"/>
  <c r="E2" i="107"/>
  <c r="J18" i="119"/>
  <c r="I18"/>
  <c r="I17"/>
  <c r="J17"/>
  <c r="J19"/>
  <c r="I19"/>
  <c r="J16"/>
  <c r="I16"/>
  <c r="I20"/>
  <c r="J20"/>
  <c r="U3" i="117"/>
  <c r="T3"/>
  <c r="S3"/>
  <c r="U2" i="113"/>
  <c r="T2"/>
  <c r="S2"/>
  <c r="D27" i="117"/>
  <c r="T25"/>
  <c r="S25"/>
  <c r="T24"/>
  <c r="S24"/>
  <c r="T23"/>
  <c r="S23"/>
  <c r="T22"/>
  <c r="S22"/>
  <c r="T18"/>
  <c r="S18"/>
  <c r="T17"/>
  <c r="S17"/>
  <c r="T16"/>
  <c r="S16"/>
  <c r="G186" i="119" s="1"/>
  <c r="H186" s="1"/>
  <c r="S15" i="117"/>
  <c r="E5"/>
  <c r="U5"/>
  <c r="T5"/>
  <c r="U25" l="1"/>
  <c r="G192" i="119"/>
  <c r="H192" s="1"/>
  <c r="J186"/>
  <c r="I186"/>
  <c r="U23" i="117"/>
  <c r="G190" i="119"/>
  <c r="H190" s="1"/>
  <c r="U15" i="117"/>
  <c r="G185" i="119"/>
  <c r="H185" s="1"/>
  <c r="U22" i="117"/>
  <c r="G189" i="119"/>
  <c r="H189" s="1"/>
  <c r="U18" i="117"/>
  <c r="G188" i="119"/>
  <c r="H188" s="1"/>
  <c r="U17" i="117"/>
  <c r="G187" i="119"/>
  <c r="H187" s="1"/>
  <c r="U24" i="117"/>
  <c r="G191" i="119"/>
  <c r="H191" s="1"/>
  <c r="U16" i="117"/>
  <c r="S7"/>
  <c r="T4"/>
  <c r="T6" s="1"/>
  <c r="S4"/>
  <c r="I191" i="119" l="1"/>
  <c r="J191"/>
  <c r="J185"/>
  <c r="I185"/>
  <c r="U4" i="117"/>
  <c r="H18" i="88" s="1"/>
  <c r="I189" i="119"/>
  <c r="J189"/>
  <c r="J192"/>
  <c r="I192"/>
  <c r="I188"/>
  <c r="J188"/>
  <c r="J187"/>
  <c r="I187"/>
  <c r="I190"/>
  <c r="J190"/>
  <c r="E4" i="117"/>
  <c r="S5"/>
  <c r="T105" i="114"/>
  <c r="S105"/>
  <c r="T104"/>
  <c r="S104"/>
  <c r="T103"/>
  <c r="S103"/>
  <c r="T102"/>
  <c r="S102"/>
  <c r="T98"/>
  <c r="S98"/>
  <c r="T97"/>
  <c r="S97"/>
  <c r="T96"/>
  <c r="S96"/>
  <c r="T95"/>
  <c r="S95"/>
  <c r="U95" l="1"/>
  <c r="G257" i="119"/>
  <c r="H257" s="1"/>
  <c r="U102" i="114"/>
  <c r="G261" i="119"/>
  <c r="H261" s="1"/>
  <c r="U97" i="114"/>
  <c r="G259" i="119"/>
  <c r="H259" s="1"/>
  <c r="U104" i="114"/>
  <c r="G263" i="119"/>
  <c r="H263" s="1"/>
  <c r="U96" i="114"/>
  <c r="G258" i="119"/>
  <c r="H258" s="1"/>
  <c r="U103" i="114"/>
  <c r="G262" i="119"/>
  <c r="H262" s="1"/>
  <c r="U6" i="117"/>
  <c r="S6" s="1"/>
  <c r="U98" i="114"/>
  <c r="G260" i="119"/>
  <c r="H260" s="1"/>
  <c r="U105" i="114"/>
  <c r="G264" i="119"/>
  <c r="H264" s="1"/>
  <c r="T23" i="110"/>
  <c r="S23"/>
  <c r="T22"/>
  <c r="S22"/>
  <c r="D78" i="106"/>
  <c r="S3" i="105"/>
  <c r="T3"/>
  <c r="U3"/>
  <c r="T5"/>
  <c r="U5"/>
  <c r="S3" i="110"/>
  <c r="T3"/>
  <c r="U3"/>
  <c r="D22" i="89"/>
  <c r="D19" i="90"/>
  <c r="D51" i="107"/>
  <c r="U11" i="88"/>
  <c r="V11" s="1"/>
  <c r="Q11" s="1"/>
  <c r="U10"/>
  <c r="V10" s="1"/>
  <c r="Q10" s="1"/>
  <c r="U9"/>
  <c r="V9" s="1"/>
  <c r="Q9" s="1"/>
  <c r="I260" i="119" l="1"/>
  <c r="J260"/>
  <c r="I263"/>
  <c r="J263"/>
  <c r="I264"/>
  <c r="J264"/>
  <c r="J258"/>
  <c r="I258"/>
  <c r="I257"/>
  <c r="J257"/>
  <c r="I262"/>
  <c r="J262"/>
  <c r="J261"/>
  <c r="I261"/>
  <c r="I259"/>
  <c r="J259"/>
  <c r="U22" i="110"/>
  <c r="G109" i="119"/>
  <c r="H109" s="1"/>
  <c r="U23" i="110"/>
  <c r="G110" i="119"/>
  <c r="H110" s="1"/>
  <c r="E26" i="88"/>
  <c r="H26"/>
  <c r="D73" i="116"/>
  <c r="U71"/>
  <c r="T71"/>
  <c r="V71" s="1"/>
  <c r="U70"/>
  <c r="T70"/>
  <c r="V70" s="1"/>
  <c r="U69"/>
  <c r="T69"/>
  <c r="V69" s="1"/>
  <c r="U68"/>
  <c r="T68"/>
  <c r="V68" s="1"/>
  <c r="U64"/>
  <c r="T64"/>
  <c r="V64" s="1"/>
  <c r="U63"/>
  <c r="T63"/>
  <c r="V63" s="1"/>
  <c r="U62"/>
  <c r="T62"/>
  <c r="V62" s="1"/>
  <c r="U61"/>
  <c r="T61"/>
  <c r="V61" s="1"/>
  <c r="U55"/>
  <c r="T55"/>
  <c r="V55" s="1"/>
  <c r="U54"/>
  <c r="T54"/>
  <c r="V54" s="1"/>
  <c r="U53"/>
  <c r="T53"/>
  <c r="V53" s="1"/>
  <c r="U52"/>
  <c r="T52"/>
  <c r="V52" s="1"/>
  <c r="U48"/>
  <c r="T48"/>
  <c r="V48" s="1"/>
  <c r="U47"/>
  <c r="T47"/>
  <c r="V47" s="1"/>
  <c r="U46"/>
  <c r="T46"/>
  <c r="V46" s="1"/>
  <c r="U45"/>
  <c r="T45"/>
  <c r="V45" s="1"/>
  <c r="U39"/>
  <c r="T39"/>
  <c r="V39" s="1"/>
  <c r="U38"/>
  <c r="T38"/>
  <c r="V38" s="1"/>
  <c r="U37"/>
  <c r="T37"/>
  <c r="V37" s="1"/>
  <c r="U36"/>
  <c r="T36"/>
  <c r="V36" s="1"/>
  <c r="U32"/>
  <c r="T32"/>
  <c r="V32" s="1"/>
  <c r="U31"/>
  <c r="T31"/>
  <c r="V31" s="1"/>
  <c r="U30"/>
  <c r="T30"/>
  <c r="V30" s="1"/>
  <c r="U29"/>
  <c r="T29"/>
  <c r="V29" s="1"/>
  <c r="U23"/>
  <c r="T23"/>
  <c r="V23" s="1"/>
  <c r="U22"/>
  <c r="T22"/>
  <c r="V22" s="1"/>
  <c r="U21"/>
  <c r="T21"/>
  <c r="V21" s="1"/>
  <c r="U20"/>
  <c r="T20"/>
  <c r="V20" s="1"/>
  <c r="U16"/>
  <c r="T16"/>
  <c r="V16" s="1"/>
  <c r="U15"/>
  <c r="T15"/>
  <c r="V15" s="1"/>
  <c r="U14"/>
  <c r="T14"/>
  <c r="U13"/>
  <c r="T13"/>
  <c r="V13" s="1"/>
  <c r="E5"/>
  <c r="V4"/>
  <c r="U4"/>
  <c r="V2"/>
  <c r="U2"/>
  <c r="T2"/>
  <c r="D21" i="88"/>
  <c r="T89" i="114"/>
  <c r="S89"/>
  <c r="T88"/>
  <c r="S88"/>
  <c r="T87"/>
  <c r="S87"/>
  <c r="T86"/>
  <c r="S86"/>
  <c r="T82"/>
  <c r="S82"/>
  <c r="T81"/>
  <c r="S81"/>
  <c r="T80"/>
  <c r="S80"/>
  <c r="T79"/>
  <c r="S79"/>
  <c r="G249" i="119" s="1"/>
  <c r="H249" s="1"/>
  <c r="D20" i="88"/>
  <c r="D107" i="114"/>
  <c r="T73"/>
  <c r="S73"/>
  <c r="T72"/>
  <c r="S72"/>
  <c r="T71"/>
  <c r="S71"/>
  <c r="T70"/>
  <c r="S70"/>
  <c r="T66"/>
  <c r="S66"/>
  <c r="T65"/>
  <c r="S65"/>
  <c r="T64"/>
  <c r="S64"/>
  <c r="T63"/>
  <c r="S63"/>
  <c r="T57"/>
  <c r="S57"/>
  <c r="T56"/>
  <c r="S56"/>
  <c r="T55"/>
  <c r="S55"/>
  <c r="T54"/>
  <c r="S54"/>
  <c r="T50"/>
  <c r="S50"/>
  <c r="T49"/>
  <c r="S49"/>
  <c r="T48"/>
  <c r="S48"/>
  <c r="T47"/>
  <c r="S47"/>
  <c r="T41"/>
  <c r="S41"/>
  <c r="T40"/>
  <c r="S40"/>
  <c r="T39"/>
  <c r="S39"/>
  <c r="T38"/>
  <c r="S38"/>
  <c r="T34"/>
  <c r="S34"/>
  <c r="T33"/>
  <c r="S33"/>
  <c r="T32"/>
  <c r="S32"/>
  <c r="T31"/>
  <c r="S31"/>
  <c r="T25"/>
  <c r="S25"/>
  <c r="T24"/>
  <c r="S24"/>
  <c r="U24" s="1"/>
  <c r="T23"/>
  <c r="S23"/>
  <c r="T22"/>
  <c r="S22"/>
  <c r="U22" s="1"/>
  <c r="T18"/>
  <c r="S18"/>
  <c r="T17"/>
  <c r="S17"/>
  <c r="T16"/>
  <c r="S16"/>
  <c r="G219" i="119" s="1"/>
  <c r="H219" s="1"/>
  <c r="T15" i="114"/>
  <c r="S15"/>
  <c r="G218" i="119" s="1"/>
  <c r="H218" s="1"/>
  <c r="E5" i="114"/>
  <c r="U4"/>
  <c r="T4"/>
  <c r="U2"/>
  <c r="T2"/>
  <c r="S2"/>
  <c r="D19" i="88"/>
  <c r="D60" i="115"/>
  <c r="T58"/>
  <c r="S58"/>
  <c r="T57"/>
  <c r="S57"/>
  <c r="T56"/>
  <c r="S56"/>
  <c r="T55"/>
  <c r="S55"/>
  <c r="T51"/>
  <c r="S51"/>
  <c r="T50"/>
  <c r="S50"/>
  <c r="T49"/>
  <c r="S49"/>
  <c r="T48"/>
  <c r="S48"/>
  <c r="T42"/>
  <c r="S42"/>
  <c r="T41"/>
  <c r="S41"/>
  <c r="T40"/>
  <c r="S40"/>
  <c r="T39"/>
  <c r="S39"/>
  <c r="T35"/>
  <c r="S35"/>
  <c r="T34"/>
  <c r="S34"/>
  <c r="T33"/>
  <c r="S33"/>
  <c r="T32"/>
  <c r="S32"/>
  <c r="T26"/>
  <c r="S26"/>
  <c r="T25"/>
  <c r="S25"/>
  <c r="T24"/>
  <c r="S24"/>
  <c r="T23"/>
  <c r="S23"/>
  <c r="T19"/>
  <c r="S19"/>
  <c r="T18"/>
  <c r="S18"/>
  <c r="T17"/>
  <c r="S17"/>
  <c r="G194" i="119" s="1"/>
  <c r="H194" s="1"/>
  <c r="T16" i="115"/>
  <c r="S16"/>
  <c r="G193" i="119" s="1"/>
  <c r="H193" s="1"/>
  <c r="E6" i="115"/>
  <c r="U5"/>
  <c r="T5"/>
  <c r="E18" i="88"/>
  <c r="U3" i="115"/>
  <c r="T3"/>
  <c r="S3"/>
  <c r="D17" i="88"/>
  <c r="D16"/>
  <c r="D15"/>
  <c r="U35" i="115" l="1"/>
  <c r="G204" i="119"/>
  <c r="H204" s="1"/>
  <c r="U58" i="115"/>
  <c r="G216" i="119"/>
  <c r="H216" s="1"/>
  <c r="U41" i="114"/>
  <c r="G232" i="119"/>
  <c r="H232" s="1"/>
  <c r="U66" i="114"/>
  <c r="G244" i="119"/>
  <c r="H244" s="1"/>
  <c r="U18" i="115"/>
  <c r="G195" i="119"/>
  <c r="H195" s="1"/>
  <c r="U41" i="115"/>
  <c r="G207" i="119"/>
  <c r="H207" s="1"/>
  <c r="U50" i="115"/>
  <c r="G211" i="119"/>
  <c r="H211" s="1"/>
  <c r="U65" i="114"/>
  <c r="G243" i="119"/>
  <c r="H243" s="1"/>
  <c r="I110"/>
  <c r="J110"/>
  <c r="J193"/>
  <c r="I193"/>
  <c r="U32" i="115"/>
  <c r="G201" i="119"/>
  <c r="H201" s="1"/>
  <c r="U39" i="115"/>
  <c r="G205" i="119"/>
  <c r="H205" s="1"/>
  <c r="U48" i="115"/>
  <c r="G209" i="119"/>
  <c r="H209" s="1"/>
  <c r="U55" i="115"/>
  <c r="G213" i="119"/>
  <c r="H213" s="1"/>
  <c r="U31" i="114"/>
  <c r="G225" i="119"/>
  <c r="H225" s="1"/>
  <c r="U47" i="114"/>
  <c r="G233" i="119"/>
  <c r="H233" s="1"/>
  <c r="U54" i="114"/>
  <c r="G237" i="119"/>
  <c r="H237" s="1"/>
  <c r="U70" i="114"/>
  <c r="G245" i="119"/>
  <c r="H245" s="1"/>
  <c r="U82" i="114"/>
  <c r="G252" i="119"/>
  <c r="H252" s="1"/>
  <c r="U89" i="114"/>
  <c r="G256" i="119"/>
  <c r="H256" s="1"/>
  <c r="U26" i="115"/>
  <c r="G200" i="119"/>
  <c r="H200" s="1"/>
  <c r="U18" i="114"/>
  <c r="G221" i="119"/>
  <c r="H221" s="1"/>
  <c r="U50" i="114"/>
  <c r="G236" i="119"/>
  <c r="H236" s="1"/>
  <c r="U81" i="114"/>
  <c r="G251" i="119"/>
  <c r="H251" s="1"/>
  <c r="U34" i="115"/>
  <c r="G203" i="119"/>
  <c r="H203" s="1"/>
  <c r="U17" i="114"/>
  <c r="G220" i="119"/>
  <c r="H220" s="1"/>
  <c r="U49" i="114"/>
  <c r="G235" i="119"/>
  <c r="H235" s="1"/>
  <c r="U80" i="114"/>
  <c r="G250" i="119"/>
  <c r="H250" s="1"/>
  <c r="I194"/>
  <c r="J194"/>
  <c r="U24" i="115"/>
  <c r="G198" i="119"/>
  <c r="H198" s="1"/>
  <c r="U33" i="115"/>
  <c r="G202" i="119"/>
  <c r="H202" s="1"/>
  <c r="U40" i="115"/>
  <c r="G206" i="119"/>
  <c r="H206" s="1"/>
  <c r="U49" i="115"/>
  <c r="G210" i="119"/>
  <c r="H210" s="1"/>
  <c r="U56" i="115"/>
  <c r="G214" i="119"/>
  <c r="H214" s="1"/>
  <c r="I219"/>
  <c r="J219"/>
  <c r="U23" i="114"/>
  <c r="G222" i="119"/>
  <c r="H222" s="1"/>
  <c r="U39" i="114"/>
  <c r="G230" i="119"/>
  <c r="H230" s="1"/>
  <c r="U48" i="114"/>
  <c r="G234" i="119"/>
  <c r="H234" s="1"/>
  <c r="U55" i="114"/>
  <c r="G238" i="119"/>
  <c r="H238" s="1"/>
  <c r="U64" i="114"/>
  <c r="G242" i="119"/>
  <c r="H242" s="1"/>
  <c r="U71" i="114"/>
  <c r="G246" i="119"/>
  <c r="H246" s="1"/>
  <c r="I249"/>
  <c r="J249"/>
  <c r="U86" i="114"/>
  <c r="G253" i="119"/>
  <c r="H253" s="1"/>
  <c r="U42" i="115"/>
  <c r="G208" i="119"/>
  <c r="H208" s="1"/>
  <c r="U25" i="114"/>
  <c r="G224" i="119"/>
  <c r="H224" s="1"/>
  <c r="U57" i="114"/>
  <c r="G240" i="119"/>
  <c r="H240" s="1"/>
  <c r="U88" i="114"/>
  <c r="G255" i="119"/>
  <c r="H255" s="1"/>
  <c r="I109"/>
  <c r="J109"/>
  <c r="U25" i="115"/>
  <c r="G199" i="119"/>
  <c r="H199" s="1"/>
  <c r="U57" i="115"/>
  <c r="G215" i="119"/>
  <c r="H215" s="1"/>
  <c r="U40" i="114"/>
  <c r="G231" i="119"/>
  <c r="H231" s="1"/>
  <c r="U72" i="114"/>
  <c r="G247" i="119"/>
  <c r="H247" s="1"/>
  <c r="U19" i="115"/>
  <c r="G196" i="119"/>
  <c r="H196" s="1"/>
  <c r="U51" i="115"/>
  <c r="G212" i="119"/>
  <c r="H212" s="1"/>
  <c r="U73" i="114"/>
  <c r="G248" i="119"/>
  <c r="H248" s="1"/>
  <c r="U56" i="114"/>
  <c r="G239" i="119"/>
  <c r="H239" s="1"/>
  <c r="U87" i="114"/>
  <c r="G254" i="119"/>
  <c r="H254" s="1"/>
  <c r="U23" i="115"/>
  <c r="G197" i="119"/>
  <c r="H197" s="1"/>
  <c r="J218"/>
  <c r="I218"/>
  <c r="U38" i="114"/>
  <c r="G229" i="119"/>
  <c r="H229" s="1"/>
  <c r="U63" i="114"/>
  <c r="G241" i="119"/>
  <c r="H241" s="1"/>
  <c r="U34" i="114"/>
  <c r="G228" i="119"/>
  <c r="H228" s="1"/>
  <c r="U33" i="114"/>
  <c r="G227" i="119"/>
  <c r="H227" s="1"/>
  <c r="U32" i="114"/>
  <c r="G226" i="119"/>
  <c r="H226" s="1"/>
  <c r="U17" i="115"/>
  <c r="U16" i="114"/>
  <c r="S7"/>
  <c r="T4" i="115"/>
  <c r="E19" i="88" s="1"/>
  <c r="U16" i="115"/>
  <c r="S4"/>
  <c r="E5" s="1"/>
  <c r="T3" i="114"/>
  <c r="U15"/>
  <c r="S3"/>
  <c r="U3" i="116"/>
  <c r="E21" i="88" s="1"/>
  <c r="V14" i="116"/>
  <c r="V3" s="1"/>
  <c r="H21" i="88" s="1"/>
  <c r="T3" i="116"/>
  <c r="U79" i="114"/>
  <c r="D59" i="113"/>
  <c r="T57"/>
  <c r="S57"/>
  <c r="T56"/>
  <c r="S56"/>
  <c r="T55"/>
  <c r="S55"/>
  <c r="T54"/>
  <c r="S54"/>
  <c r="T50"/>
  <c r="S50"/>
  <c r="T49"/>
  <c r="S49"/>
  <c r="T48"/>
  <c r="S48"/>
  <c r="T47"/>
  <c r="S47"/>
  <c r="T41"/>
  <c r="S41"/>
  <c r="T40"/>
  <c r="S40"/>
  <c r="T39"/>
  <c r="S39"/>
  <c r="T38"/>
  <c r="S38"/>
  <c r="T34"/>
  <c r="S34"/>
  <c r="T33"/>
  <c r="S33"/>
  <c r="T32"/>
  <c r="S32"/>
  <c r="T31"/>
  <c r="S31"/>
  <c r="G169" i="119" s="1"/>
  <c r="H169" s="1"/>
  <c r="T25" i="113"/>
  <c r="S25"/>
  <c r="T24"/>
  <c r="S24"/>
  <c r="T23"/>
  <c r="S23"/>
  <c r="T22"/>
  <c r="S22"/>
  <c r="T18"/>
  <c r="S18"/>
  <c r="T17"/>
  <c r="S17"/>
  <c r="T16"/>
  <c r="S16"/>
  <c r="G162" i="119" s="1"/>
  <c r="H162" s="1"/>
  <c r="T15" i="113"/>
  <c r="S15"/>
  <c r="G161" i="119" s="1"/>
  <c r="H161" s="1"/>
  <c r="E5" i="113"/>
  <c r="U4"/>
  <c r="T4"/>
  <c r="E5" i="112"/>
  <c r="E5" i="110"/>
  <c r="E5" i="95"/>
  <c r="E5" i="105"/>
  <c r="E5" i="106"/>
  <c r="E5" i="108"/>
  <c r="E5" i="107"/>
  <c r="D75" i="112"/>
  <c r="T73"/>
  <c r="S73"/>
  <c r="T72"/>
  <c r="S72"/>
  <c r="T71"/>
  <c r="S71"/>
  <c r="T70"/>
  <c r="S70"/>
  <c r="T66"/>
  <c r="S66"/>
  <c r="T65"/>
  <c r="S65"/>
  <c r="T64"/>
  <c r="S64"/>
  <c r="T63"/>
  <c r="S63"/>
  <c r="T57"/>
  <c r="S57"/>
  <c r="T56"/>
  <c r="S56"/>
  <c r="T55"/>
  <c r="S55"/>
  <c r="T54"/>
  <c r="S54"/>
  <c r="T50"/>
  <c r="S50"/>
  <c r="T49"/>
  <c r="S49"/>
  <c r="T48"/>
  <c r="S48"/>
  <c r="T47"/>
  <c r="S47"/>
  <c r="T41"/>
  <c r="S41"/>
  <c r="T40"/>
  <c r="S40"/>
  <c r="T39"/>
  <c r="S39"/>
  <c r="T38"/>
  <c r="S38"/>
  <c r="T34"/>
  <c r="S34"/>
  <c r="T33"/>
  <c r="S33"/>
  <c r="T32"/>
  <c r="S32"/>
  <c r="T31"/>
  <c r="S31"/>
  <c r="T25"/>
  <c r="S25"/>
  <c r="T24"/>
  <c r="S24"/>
  <c r="T23"/>
  <c r="S23"/>
  <c r="T22"/>
  <c r="S22"/>
  <c r="T18"/>
  <c r="S18"/>
  <c r="T17"/>
  <c r="S17"/>
  <c r="G131" i="119" s="1"/>
  <c r="H131" s="1"/>
  <c r="T16" i="112"/>
  <c r="S16"/>
  <c r="T15"/>
  <c r="S15"/>
  <c r="U4"/>
  <c r="T4"/>
  <c r="U2"/>
  <c r="T2"/>
  <c r="S2"/>
  <c r="D13" i="88"/>
  <c r="D12"/>
  <c r="D11"/>
  <c r="D10"/>
  <c r="T27" i="109"/>
  <c r="S27"/>
  <c r="G24" i="119" s="1"/>
  <c r="H24" s="1"/>
  <c r="T26" i="109"/>
  <c r="S26"/>
  <c r="G23" i="119" s="1"/>
  <c r="H23" s="1"/>
  <c r="T25" i="109"/>
  <c r="S25"/>
  <c r="G22" i="119" s="1"/>
  <c r="H22" s="1"/>
  <c r="T24" i="109"/>
  <c r="S24"/>
  <c r="G21" i="119" s="1"/>
  <c r="H21" s="1"/>
  <c r="T13" i="109"/>
  <c r="S13"/>
  <c r="I212" i="119" l="1"/>
  <c r="J212"/>
  <c r="I215"/>
  <c r="J215"/>
  <c r="J234"/>
  <c r="I234"/>
  <c r="I198"/>
  <c r="J198"/>
  <c r="J221"/>
  <c r="I221"/>
  <c r="I207"/>
  <c r="J207"/>
  <c r="I161"/>
  <c r="J161"/>
  <c r="J231"/>
  <c r="I231"/>
  <c r="J238"/>
  <c r="I238"/>
  <c r="I235"/>
  <c r="J235"/>
  <c r="I236"/>
  <c r="J236"/>
  <c r="I225"/>
  <c r="J225"/>
  <c r="I211"/>
  <c r="J211"/>
  <c r="I239"/>
  <c r="J239"/>
  <c r="J208"/>
  <c r="I208"/>
  <c r="I242"/>
  <c r="J242"/>
  <c r="I206"/>
  <c r="J206"/>
  <c r="J250"/>
  <c r="I250"/>
  <c r="J251"/>
  <c r="I251"/>
  <c r="J256"/>
  <c r="I256"/>
  <c r="J233"/>
  <c r="I233"/>
  <c r="I205"/>
  <c r="J205"/>
  <c r="I244"/>
  <c r="J244"/>
  <c r="I214"/>
  <c r="J214"/>
  <c r="I220"/>
  <c r="J220"/>
  <c r="I245"/>
  <c r="J245"/>
  <c r="J216"/>
  <c r="I216"/>
  <c r="I23"/>
  <c r="J23"/>
  <c r="I21"/>
  <c r="J21"/>
  <c r="I241"/>
  <c r="J241"/>
  <c r="I254"/>
  <c r="J254"/>
  <c r="I196"/>
  <c r="J196"/>
  <c r="J199"/>
  <c r="I199"/>
  <c r="I224"/>
  <c r="J224"/>
  <c r="I246"/>
  <c r="J246"/>
  <c r="I230"/>
  <c r="J230"/>
  <c r="I210"/>
  <c r="J210"/>
  <c r="I203"/>
  <c r="J203"/>
  <c r="J200"/>
  <c r="I200"/>
  <c r="J237"/>
  <c r="I237"/>
  <c r="I209"/>
  <c r="J209"/>
  <c r="I195"/>
  <c r="J195"/>
  <c r="I204"/>
  <c r="J204"/>
  <c r="I24"/>
  <c r="J24"/>
  <c r="I197"/>
  <c r="J197"/>
  <c r="J240"/>
  <c r="I240"/>
  <c r="I213"/>
  <c r="J213"/>
  <c r="I131"/>
  <c r="J131"/>
  <c r="I169"/>
  <c r="J169"/>
  <c r="J253"/>
  <c r="I253"/>
  <c r="I201"/>
  <c r="J201"/>
  <c r="J248"/>
  <c r="I248"/>
  <c r="I255"/>
  <c r="J255"/>
  <c r="J202"/>
  <c r="I202"/>
  <c r="J252"/>
  <c r="I252"/>
  <c r="J232"/>
  <c r="I232"/>
  <c r="I22"/>
  <c r="J22"/>
  <c r="J229"/>
  <c r="I229"/>
  <c r="I247"/>
  <c r="J247"/>
  <c r="J222"/>
  <c r="I222"/>
  <c r="J243"/>
  <c r="I243"/>
  <c r="J162"/>
  <c r="I162"/>
  <c r="I228"/>
  <c r="J228"/>
  <c r="J227"/>
  <c r="I227"/>
  <c r="I226"/>
  <c r="J226"/>
  <c r="E24" i="88"/>
  <c r="E20"/>
  <c r="G15" i="119"/>
  <c r="H15" s="1"/>
  <c r="U18" i="113"/>
  <c r="G164" i="119"/>
  <c r="H164" s="1"/>
  <c r="U34" i="113"/>
  <c r="G172" i="119"/>
  <c r="H172" s="1"/>
  <c r="U50" i="113"/>
  <c r="G180" i="119"/>
  <c r="H180" s="1"/>
  <c r="U57" i="113"/>
  <c r="G184" i="119"/>
  <c r="H184" s="1"/>
  <c r="U22" i="112"/>
  <c r="G133" i="119"/>
  <c r="H133" s="1"/>
  <c r="U47" i="112"/>
  <c r="G145" i="119"/>
  <c r="H145" s="1"/>
  <c r="U17" i="113"/>
  <c r="G163" i="119"/>
  <c r="H163" s="1"/>
  <c r="U40" i="113"/>
  <c r="G175" i="119"/>
  <c r="H175" s="1"/>
  <c r="U18" i="112"/>
  <c r="G132" i="119"/>
  <c r="H132" s="1"/>
  <c r="U41" i="112"/>
  <c r="G144" i="119"/>
  <c r="H144" s="1"/>
  <c r="U66" i="112"/>
  <c r="G156" i="119"/>
  <c r="H156" s="1"/>
  <c r="U23" i="113"/>
  <c r="G166" i="119"/>
  <c r="H166" s="1"/>
  <c r="U32" i="113"/>
  <c r="G170" i="119"/>
  <c r="H170" s="1"/>
  <c r="U39" i="113"/>
  <c r="G174" i="119"/>
  <c r="H174" s="1"/>
  <c r="U48" i="113"/>
  <c r="G178" i="119"/>
  <c r="H178" s="1"/>
  <c r="U55" i="113"/>
  <c r="G182" i="119"/>
  <c r="H182" s="1"/>
  <c r="U24" i="113"/>
  <c r="G167" i="119"/>
  <c r="H167" s="1"/>
  <c r="U50" i="112"/>
  <c r="G148" i="119"/>
  <c r="H148" s="1"/>
  <c r="U24" i="112"/>
  <c r="G135" i="119"/>
  <c r="H135" s="1"/>
  <c r="U33" i="112"/>
  <c r="G139" i="119"/>
  <c r="H139" s="1"/>
  <c r="U40" i="112"/>
  <c r="G143" i="119"/>
  <c r="H143" s="1"/>
  <c r="U49" i="112"/>
  <c r="G147" i="119"/>
  <c r="H147" s="1"/>
  <c r="U56" i="112"/>
  <c r="G151" i="119"/>
  <c r="H151" s="1"/>
  <c r="U65" i="112"/>
  <c r="G155" i="119"/>
  <c r="H155" s="1"/>
  <c r="U72" i="112"/>
  <c r="G159" i="119"/>
  <c r="H159" s="1"/>
  <c r="U25" i="113"/>
  <c r="G168" i="119"/>
  <c r="H168" s="1"/>
  <c r="S7" i="112"/>
  <c r="G129" i="119"/>
  <c r="H129" s="1"/>
  <c r="U38" i="112"/>
  <c r="G141" i="119"/>
  <c r="H141" s="1"/>
  <c r="U63" i="112"/>
  <c r="G153" i="119"/>
  <c r="H153" s="1"/>
  <c r="U49" i="113"/>
  <c r="G179" i="119"/>
  <c r="H179" s="1"/>
  <c r="U34" i="112"/>
  <c r="G140" i="119"/>
  <c r="H140" s="1"/>
  <c r="U73" i="112"/>
  <c r="G160" i="119"/>
  <c r="H160" s="1"/>
  <c r="U38" i="113"/>
  <c r="G173" i="119"/>
  <c r="H173" s="1"/>
  <c r="U47" i="113"/>
  <c r="G177" i="119"/>
  <c r="H177" s="1"/>
  <c r="U54" i="113"/>
  <c r="G181" i="119"/>
  <c r="H181" s="1"/>
  <c r="U41" i="113"/>
  <c r="G176" i="119"/>
  <c r="H176" s="1"/>
  <c r="U31" i="112"/>
  <c r="G137" i="119"/>
  <c r="H137" s="1"/>
  <c r="U54" i="112"/>
  <c r="G149" i="119"/>
  <c r="H149" s="1"/>
  <c r="U70" i="112"/>
  <c r="G157" i="119"/>
  <c r="H157" s="1"/>
  <c r="U33" i="113"/>
  <c r="G171" i="119"/>
  <c r="H171" s="1"/>
  <c r="U56" i="113"/>
  <c r="G183" i="119"/>
  <c r="H183" s="1"/>
  <c r="U25" i="112"/>
  <c r="G136" i="119"/>
  <c r="H136" s="1"/>
  <c r="U57" i="112"/>
  <c r="G152" i="119"/>
  <c r="H152" s="1"/>
  <c r="U22" i="113"/>
  <c r="G165" i="119"/>
  <c r="H165" s="1"/>
  <c r="U16" i="112"/>
  <c r="G130" i="119"/>
  <c r="H130" s="1"/>
  <c r="U23" i="112"/>
  <c r="G134" i="119"/>
  <c r="H134" s="1"/>
  <c r="U32" i="112"/>
  <c r="G138" i="119"/>
  <c r="H138" s="1"/>
  <c r="U39" i="112"/>
  <c r="G142" i="119"/>
  <c r="H142" s="1"/>
  <c r="U48" i="112"/>
  <c r="G146" i="119"/>
  <c r="H146" s="1"/>
  <c r="U55" i="112"/>
  <c r="G150" i="119"/>
  <c r="H150" s="1"/>
  <c r="U64" i="112"/>
  <c r="G154" i="119"/>
  <c r="H154" s="1"/>
  <c r="U71" i="112"/>
  <c r="G158" i="119"/>
  <c r="H158" s="1"/>
  <c r="U31" i="113"/>
  <c r="U4" i="115"/>
  <c r="U6" s="1"/>
  <c r="S7" i="113"/>
  <c r="U17" i="112"/>
  <c r="S9"/>
  <c r="U24" i="109"/>
  <c r="V24" s="1"/>
  <c r="U25"/>
  <c r="V25" s="1"/>
  <c r="U26"/>
  <c r="V26" s="1"/>
  <c r="U27"/>
  <c r="V27" s="1"/>
  <c r="U16" i="113"/>
  <c r="T5" i="114"/>
  <c r="U5" i="116"/>
  <c r="T6" i="115"/>
  <c r="T3" i="112"/>
  <c r="T5" s="1"/>
  <c r="V5" i="116"/>
  <c r="T5" s="1"/>
  <c r="M5" s="1"/>
  <c r="T3" i="113"/>
  <c r="T5" s="1"/>
  <c r="T3" i="109"/>
  <c r="U13"/>
  <c r="V19" s="1"/>
  <c r="S3"/>
  <c r="U15" i="113"/>
  <c r="S3"/>
  <c r="U15" i="112"/>
  <c r="S3"/>
  <c r="S6" i="115"/>
  <c r="M6" s="1"/>
  <c r="S5"/>
  <c r="M5" s="1"/>
  <c r="U3" i="114"/>
  <c r="T4" i="116"/>
  <c r="M4" s="1"/>
  <c r="E4"/>
  <c r="E4" i="114"/>
  <c r="M4" i="117"/>
  <c r="D59" i="110"/>
  <c r="T57"/>
  <c r="S57"/>
  <c r="T56"/>
  <c r="S56"/>
  <c r="T55"/>
  <c r="S55"/>
  <c r="T54"/>
  <c r="S54"/>
  <c r="T50"/>
  <c r="S50"/>
  <c r="T49"/>
  <c r="S49"/>
  <c r="T48"/>
  <c r="S48"/>
  <c r="T47"/>
  <c r="S47"/>
  <c r="T41"/>
  <c r="S41"/>
  <c r="T40"/>
  <c r="S40"/>
  <c r="T39"/>
  <c r="S39"/>
  <c r="T38"/>
  <c r="S38"/>
  <c r="T34"/>
  <c r="S34"/>
  <c r="T33"/>
  <c r="S33"/>
  <c r="T32"/>
  <c r="S32"/>
  <c r="T31"/>
  <c r="S31"/>
  <c r="T25"/>
  <c r="S25"/>
  <c r="T24"/>
  <c r="S24"/>
  <c r="T18"/>
  <c r="S18"/>
  <c r="T17"/>
  <c r="S17"/>
  <c r="G107" i="119" s="1"/>
  <c r="H107" s="1"/>
  <c r="T16" i="110"/>
  <c r="S16"/>
  <c r="T15"/>
  <c r="S15"/>
  <c r="U5"/>
  <c r="T5"/>
  <c r="D29" i="109"/>
  <c r="U4"/>
  <c r="T4"/>
  <c r="U2"/>
  <c r="T2"/>
  <c r="S2"/>
  <c r="T37" i="108"/>
  <c r="S37"/>
  <c r="T31"/>
  <c r="S31"/>
  <c r="D39"/>
  <c r="T25"/>
  <c r="S25"/>
  <c r="G12" i="119" s="1"/>
  <c r="H12" s="1"/>
  <c r="T19" i="108"/>
  <c r="S19"/>
  <c r="G11" i="119" s="1"/>
  <c r="H11" s="1"/>
  <c r="T13" i="108"/>
  <c r="S13"/>
  <c r="U4"/>
  <c r="T4"/>
  <c r="U2"/>
  <c r="T2"/>
  <c r="S2"/>
  <c r="T49" i="107"/>
  <c r="S49"/>
  <c r="G9" i="119" s="1"/>
  <c r="H9" s="1"/>
  <c r="T43" i="107"/>
  <c r="S43"/>
  <c r="G8" i="119" s="1"/>
  <c r="H8" s="1"/>
  <c r="T37" i="107"/>
  <c r="S37"/>
  <c r="G7" i="119" s="1"/>
  <c r="H7" s="1"/>
  <c r="T31" i="107"/>
  <c r="S31"/>
  <c r="G6" i="119" s="1"/>
  <c r="H6" s="1"/>
  <c r="T19" i="107"/>
  <c r="S19"/>
  <c r="G4" i="119" s="1"/>
  <c r="H4" s="1"/>
  <c r="S13" i="107"/>
  <c r="T13"/>
  <c r="T25"/>
  <c r="S25"/>
  <c r="G5" i="119" s="1"/>
  <c r="H5" s="1"/>
  <c r="U4" i="107"/>
  <c r="T4"/>
  <c r="U2"/>
  <c r="T2"/>
  <c r="S2"/>
  <c r="T75" i="106"/>
  <c r="S75"/>
  <c r="T74"/>
  <c r="S74"/>
  <c r="T73"/>
  <c r="S73"/>
  <c r="T72"/>
  <c r="S72"/>
  <c r="T67"/>
  <c r="S67"/>
  <c r="T66"/>
  <c r="S66"/>
  <c r="T65"/>
  <c r="S65"/>
  <c r="T64"/>
  <c r="S64"/>
  <c r="G49" i="119" s="1"/>
  <c r="H49" s="1"/>
  <c r="S2" i="106"/>
  <c r="U2"/>
  <c r="T2"/>
  <c r="T57"/>
  <c r="S57"/>
  <c r="T56"/>
  <c r="S56"/>
  <c r="T55"/>
  <c r="S55"/>
  <c r="G46" i="119" s="1"/>
  <c r="H46" s="1"/>
  <c r="T54" i="106"/>
  <c r="S54"/>
  <c r="T50"/>
  <c r="S50"/>
  <c r="T49"/>
  <c r="S49"/>
  <c r="T48"/>
  <c r="S48"/>
  <c r="T47"/>
  <c r="S47"/>
  <c r="G41" i="119" s="1"/>
  <c r="H41" s="1"/>
  <c r="T40" i="106"/>
  <c r="S40"/>
  <c r="T39"/>
  <c r="S39"/>
  <c r="T38"/>
  <c r="S38"/>
  <c r="T37"/>
  <c r="S37"/>
  <c r="T33"/>
  <c r="S33"/>
  <c r="T32"/>
  <c r="S32"/>
  <c r="T31"/>
  <c r="S31"/>
  <c r="T30"/>
  <c r="S30"/>
  <c r="G33" i="119" s="1"/>
  <c r="H33" s="1"/>
  <c r="T23" i="106"/>
  <c r="S23"/>
  <c r="T22"/>
  <c r="S22"/>
  <c r="T21"/>
  <c r="S21"/>
  <c r="T20"/>
  <c r="S20"/>
  <c r="T16"/>
  <c r="S16"/>
  <c r="T15"/>
  <c r="S15"/>
  <c r="T14"/>
  <c r="S14"/>
  <c r="T13"/>
  <c r="S13"/>
  <c r="G25" i="119" s="1"/>
  <c r="H25" s="1"/>
  <c r="U4" i="106"/>
  <c r="T4"/>
  <c r="T5" i="95"/>
  <c r="U5"/>
  <c r="U3"/>
  <c r="T3"/>
  <c r="S3"/>
  <c r="J107" i="119" l="1"/>
  <c r="I107"/>
  <c r="I134"/>
  <c r="J134"/>
  <c r="I144"/>
  <c r="J144"/>
  <c r="J152"/>
  <c r="I152"/>
  <c r="I151"/>
  <c r="J151"/>
  <c r="I9"/>
  <c r="J9"/>
  <c r="J49"/>
  <c r="I49"/>
  <c r="I150"/>
  <c r="J150"/>
  <c r="I177"/>
  <c r="J177"/>
  <c r="I25"/>
  <c r="J25"/>
  <c r="I157"/>
  <c r="J157"/>
  <c r="J129"/>
  <c r="I129"/>
  <c r="I156"/>
  <c r="J156"/>
  <c r="I12"/>
  <c r="J12"/>
  <c r="I6"/>
  <c r="J6"/>
  <c r="J158"/>
  <c r="I158"/>
  <c r="J142"/>
  <c r="I142"/>
  <c r="I165"/>
  <c r="J165"/>
  <c r="I160"/>
  <c r="J160"/>
  <c r="I141"/>
  <c r="J141"/>
  <c r="I155"/>
  <c r="J155"/>
  <c r="I139"/>
  <c r="J139"/>
  <c r="J15"/>
  <c r="I15"/>
  <c r="I8"/>
  <c r="J8"/>
  <c r="I149"/>
  <c r="J149"/>
  <c r="I148"/>
  <c r="J148"/>
  <c r="J41"/>
  <c r="I41"/>
  <c r="I5"/>
  <c r="J5"/>
  <c r="J138"/>
  <c r="I138"/>
  <c r="I181"/>
  <c r="J181"/>
  <c r="I135"/>
  <c r="J135"/>
  <c r="J11"/>
  <c r="I11"/>
  <c r="I136"/>
  <c r="J136"/>
  <c r="I147"/>
  <c r="J147"/>
  <c r="J145"/>
  <c r="I145"/>
  <c r="J33"/>
  <c r="I33"/>
  <c r="J7"/>
  <c r="I7"/>
  <c r="I154"/>
  <c r="J154"/>
  <c r="I140"/>
  <c r="J140"/>
  <c r="I4"/>
  <c r="J4"/>
  <c r="J146"/>
  <c r="I146"/>
  <c r="I130"/>
  <c r="J130"/>
  <c r="J137"/>
  <c r="I137"/>
  <c r="I173"/>
  <c r="J173"/>
  <c r="J153"/>
  <c r="I153"/>
  <c r="I159"/>
  <c r="J159"/>
  <c r="J143"/>
  <c r="I143"/>
  <c r="I132"/>
  <c r="J132"/>
  <c r="I133"/>
  <c r="J133"/>
  <c r="I163"/>
  <c r="J163"/>
  <c r="I164"/>
  <c r="J164"/>
  <c r="I166"/>
  <c r="J166"/>
  <c r="J168"/>
  <c r="I168"/>
  <c r="I167"/>
  <c r="J167"/>
  <c r="I171"/>
  <c r="J171"/>
  <c r="I172"/>
  <c r="J172"/>
  <c r="J170"/>
  <c r="I170"/>
  <c r="J176"/>
  <c r="I176"/>
  <c r="I175"/>
  <c r="J175"/>
  <c r="I174"/>
  <c r="J174"/>
  <c r="I179"/>
  <c r="J179"/>
  <c r="J178"/>
  <c r="I178"/>
  <c r="J180"/>
  <c r="I180"/>
  <c r="J182"/>
  <c r="I182"/>
  <c r="J183"/>
  <c r="I183"/>
  <c r="J184"/>
  <c r="I184"/>
  <c r="I46"/>
  <c r="J46"/>
  <c r="H24" i="88"/>
  <c r="H20"/>
  <c r="S4" i="114"/>
  <c r="M4" s="1"/>
  <c r="G13" i="119"/>
  <c r="H13" s="1"/>
  <c r="G14"/>
  <c r="H14" s="1"/>
  <c r="U66" i="106"/>
  <c r="G51" i="119"/>
  <c r="H51" s="1"/>
  <c r="U33" i="106"/>
  <c r="G36" i="119"/>
  <c r="H36" s="1"/>
  <c r="U57" i="106"/>
  <c r="G48" i="119"/>
  <c r="H48" s="1"/>
  <c r="U24" i="110"/>
  <c r="G111" i="119"/>
  <c r="H111" s="1"/>
  <c r="U49" i="110"/>
  <c r="G123" i="119"/>
  <c r="H123" s="1"/>
  <c r="U15" i="106"/>
  <c r="G27" i="119"/>
  <c r="H27" s="1"/>
  <c r="U56" i="106"/>
  <c r="G47" i="119"/>
  <c r="H47" s="1"/>
  <c r="U18" i="110"/>
  <c r="G108" i="119"/>
  <c r="H108" s="1"/>
  <c r="U32" i="110"/>
  <c r="G114" i="119"/>
  <c r="H114" s="1"/>
  <c r="U39" i="110"/>
  <c r="G118" i="119"/>
  <c r="H118" s="1"/>
  <c r="U48" i="110"/>
  <c r="G122" i="119"/>
  <c r="H122" s="1"/>
  <c r="U55" i="110"/>
  <c r="G126" i="119"/>
  <c r="H126" s="1"/>
  <c r="U72" i="106"/>
  <c r="G53" i="119"/>
  <c r="H53" s="1"/>
  <c r="U74" i="106"/>
  <c r="G55" i="119"/>
  <c r="H55" s="1"/>
  <c r="U16" i="106"/>
  <c r="G28" i="119"/>
  <c r="H28" s="1"/>
  <c r="U50" i="106"/>
  <c r="G44" i="119"/>
  <c r="H44" s="1"/>
  <c r="U33" i="110"/>
  <c r="G115" i="119"/>
  <c r="H115" s="1"/>
  <c r="U32" i="106"/>
  <c r="G35" i="119"/>
  <c r="H35" s="1"/>
  <c r="U49" i="106"/>
  <c r="G43" i="119"/>
  <c r="H43" s="1"/>
  <c r="U21" i="106"/>
  <c r="G30" i="119"/>
  <c r="H30" s="1"/>
  <c r="U31" i="106"/>
  <c r="G34" i="119"/>
  <c r="H34" s="1"/>
  <c r="U38" i="106"/>
  <c r="G38" i="119"/>
  <c r="H38" s="1"/>
  <c r="U48" i="106"/>
  <c r="G42" i="119"/>
  <c r="H42" s="1"/>
  <c r="U31" i="110"/>
  <c r="G113" i="119"/>
  <c r="H113" s="1"/>
  <c r="U38" i="110"/>
  <c r="G117" i="119"/>
  <c r="H117" s="1"/>
  <c r="U47" i="110"/>
  <c r="G121" i="119"/>
  <c r="H121" s="1"/>
  <c r="U54" i="110"/>
  <c r="G125" i="119"/>
  <c r="H125" s="1"/>
  <c r="U40" i="106"/>
  <c r="G40" i="119"/>
  <c r="H40" s="1"/>
  <c r="U65" i="106"/>
  <c r="G50" i="119"/>
  <c r="H50" s="1"/>
  <c r="U22" i="106"/>
  <c r="G31" i="119"/>
  <c r="H31" s="1"/>
  <c r="U67" i="106"/>
  <c r="G52" i="119"/>
  <c r="H52" s="1"/>
  <c r="U23" i="106"/>
  <c r="G32" i="119"/>
  <c r="H32" s="1"/>
  <c r="S7" i="110"/>
  <c r="G105" i="119"/>
  <c r="H105" s="1"/>
  <c r="U40" i="110"/>
  <c r="G119" i="119"/>
  <c r="H119" s="1"/>
  <c r="U56" i="110"/>
  <c r="G127" i="119"/>
  <c r="H127" s="1"/>
  <c r="U73" i="106"/>
  <c r="G54" i="119"/>
  <c r="H54" s="1"/>
  <c r="U39" i="106"/>
  <c r="G39" i="119"/>
  <c r="H39" s="1"/>
  <c r="U14" i="106"/>
  <c r="G26" i="119"/>
  <c r="H26" s="1"/>
  <c r="U75" i="106"/>
  <c r="G56" i="119"/>
  <c r="H56" s="1"/>
  <c r="U20" i="106"/>
  <c r="V23" s="1"/>
  <c r="G29" i="119"/>
  <c r="H29" s="1"/>
  <c r="U37" i="106"/>
  <c r="G37" i="119"/>
  <c r="H37" s="1"/>
  <c r="U54" i="106"/>
  <c r="G45" i="119"/>
  <c r="H45" s="1"/>
  <c r="U16" i="110"/>
  <c r="G106" i="119"/>
  <c r="H106" s="1"/>
  <c r="U25" i="110"/>
  <c r="G112" i="119"/>
  <c r="H112" s="1"/>
  <c r="U34" i="110"/>
  <c r="G116" i="119"/>
  <c r="H116" s="1"/>
  <c r="U41" i="110"/>
  <c r="G120" i="119"/>
  <c r="H120" s="1"/>
  <c r="U50" i="110"/>
  <c r="G124" i="119"/>
  <c r="H124" s="1"/>
  <c r="U57" i="110"/>
  <c r="G128" i="119"/>
  <c r="H128" s="1"/>
  <c r="U55" i="106"/>
  <c r="S7"/>
  <c r="H19" i="88"/>
  <c r="G3" i="119"/>
  <c r="H3" s="1"/>
  <c r="G10"/>
  <c r="H10" s="1"/>
  <c r="U3" i="112"/>
  <c r="H16" i="88" s="1"/>
  <c r="U3" i="113"/>
  <c r="U5" s="1"/>
  <c r="V28" i="109"/>
  <c r="E16" i="88"/>
  <c r="V13" i="109"/>
  <c r="U30" i="106"/>
  <c r="U47"/>
  <c r="U64"/>
  <c r="V72"/>
  <c r="U3" i="109"/>
  <c r="U5" s="1"/>
  <c r="T3" i="106"/>
  <c r="T5" s="1"/>
  <c r="U17" i="110"/>
  <c r="U31" i="108"/>
  <c r="U37"/>
  <c r="U19"/>
  <c r="U25"/>
  <c r="U5" i="114"/>
  <c r="S5" s="1"/>
  <c r="M5" s="1"/>
  <c r="U31" i="107"/>
  <c r="U49"/>
  <c r="U43"/>
  <c r="U37"/>
  <c r="U25"/>
  <c r="U19"/>
  <c r="E4" i="112"/>
  <c r="T4" i="110"/>
  <c r="T6" s="1"/>
  <c r="S5" i="113"/>
  <c r="U13" i="106"/>
  <c r="S3"/>
  <c r="U13" i="107"/>
  <c r="S3"/>
  <c r="U13" i="108"/>
  <c r="S3"/>
  <c r="U15" i="110"/>
  <c r="S4"/>
  <c r="E4" s="1"/>
  <c r="E17" i="88"/>
  <c r="S4" i="112"/>
  <c r="M4" s="1"/>
  <c r="E4" i="113"/>
  <c r="S4"/>
  <c r="M4" s="1"/>
  <c r="T5" i="109"/>
  <c r="E11" i="88"/>
  <c r="E4" i="109"/>
  <c r="D57" i="105"/>
  <c r="T55"/>
  <c r="S55"/>
  <c r="T54"/>
  <c r="S54"/>
  <c r="T53"/>
  <c r="S53"/>
  <c r="T52"/>
  <c r="S52"/>
  <c r="T48"/>
  <c r="U48"/>
  <c r="T47"/>
  <c r="S47"/>
  <c r="T46"/>
  <c r="S46"/>
  <c r="T45"/>
  <c r="S45"/>
  <c r="T39"/>
  <c r="S39"/>
  <c r="U39" s="1"/>
  <c r="T38"/>
  <c r="S38"/>
  <c r="U38" s="1"/>
  <c r="T37"/>
  <c r="S37"/>
  <c r="U37" s="1"/>
  <c r="T36"/>
  <c r="S36"/>
  <c r="T32"/>
  <c r="S32"/>
  <c r="T31"/>
  <c r="S31"/>
  <c r="T30"/>
  <c r="S30"/>
  <c r="T29"/>
  <c r="S29"/>
  <c r="T23"/>
  <c r="S23"/>
  <c r="T22"/>
  <c r="S22"/>
  <c r="T21"/>
  <c r="S21"/>
  <c r="T20"/>
  <c r="S20"/>
  <c r="G61" i="119" s="1"/>
  <c r="H61" s="1"/>
  <c r="T16" i="105"/>
  <c r="S16"/>
  <c r="T15"/>
  <c r="S15"/>
  <c r="T14"/>
  <c r="S14"/>
  <c r="G58" i="119" s="1"/>
  <c r="H58" s="1"/>
  <c r="T13" i="105"/>
  <c r="S13"/>
  <c r="G57" i="119" s="1"/>
  <c r="H57" s="1"/>
  <c r="S6" i="107" l="1"/>
  <c r="I10" i="119"/>
  <c r="J10"/>
  <c r="I13"/>
  <c r="J13"/>
  <c r="I29"/>
  <c r="J29"/>
  <c r="I111"/>
  <c r="J111"/>
  <c r="I105"/>
  <c r="J105"/>
  <c r="I53"/>
  <c r="J53"/>
  <c r="I124"/>
  <c r="J124"/>
  <c r="I106"/>
  <c r="J106"/>
  <c r="I127"/>
  <c r="J127"/>
  <c r="J125"/>
  <c r="I125"/>
  <c r="J122"/>
  <c r="I122"/>
  <c r="J57"/>
  <c r="I57"/>
  <c r="I112"/>
  <c r="J112"/>
  <c r="I126"/>
  <c r="J126"/>
  <c r="J14"/>
  <c r="I14"/>
  <c r="I123"/>
  <c r="J123"/>
  <c r="J61"/>
  <c r="I61"/>
  <c r="I128"/>
  <c r="J128"/>
  <c r="I108"/>
  <c r="J108"/>
  <c r="I116"/>
  <c r="J116"/>
  <c r="I117"/>
  <c r="J117"/>
  <c r="J114"/>
  <c r="I114"/>
  <c r="I120"/>
  <c r="J120"/>
  <c r="I45"/>
  <c r="J45"/>
  <c r="J119"/>
  <c r="I119"/>
  <c r="I121"/>
  <c r="J121"/>
  <c r="J118"/>
  <c r="I118"/>
  <c r="J113"/>
  <c r="I113"/>
  <c r="I37"/>
  <c r="J37"/>
  <c r="I115"/>
  <c r="J115"/>
  <c r="J3"/>
  <c r="I3"/>
  <c r="J58"/>
  <c r="I58"/>
  <c r="I27"/>
  <c r="J27"/>
  <c r="I28"/>
  <c r="J28"/>
  <c r="J26"/>
  <c r="I26"/>
  <c r="I55"/>
  <c r="J55"/>
  <c r="J56"/>
  <c r="I56"/>
  <c r="I54"/>
  <c r="J54"/>
  <c r="J50"/>
  <c r="I50"/>
  <c r="I51"/>
  <c r="J51"/>
  <c r="I52"/>
  <c r="J52"/>
  <c r="I48"/>
  <c r="J48"/>
  <c r="I47"/>
  <c r="J47"/>
  <c r="V57" i="106"/>
  <c r="J42" i="119"/>
  <c r="I42"/>
  <c r="J43"/>
  <c r="I43"/>
  <c r="I44"/>
  <c r="J44"/>
  <c r="I38"/>
  <c r="J38"/>
  <c r="J40"/>
  <c r="I40"/>
  <c r="I39"/>
  <c r="J39"/>
  <c r="J30"/>
  <c r="I30"/>
  <c r="J31"/>
  <c r="I31"/>
  <c r="J32"/>
  <c r="I32"/>
  <c r="I35"/>
  <c r="J35"/>
  <c r="I36"/>
  <c r="J36"/>
  <c r="J34"/>
  <c r="I34"/>
  <c r="V75" i="106"/>
  <c r="V50"/>
  <c r="V40"/>
  <c r="U29" i="105"/>
  <c r="G65" i="119"/>
  <c r="H65" s="1"/>
  <c r="U16" i="105"/>
  <c r="G60" i="119"/>
  <c r="H60" s="1"/>
  <c r="U23" i="105"/>
  <c r="G64" i="119"/>
  <c r="H64" s="1"/>
  <c r="U15" i="105"/>
  <c r="G59" i="119"/>
  <c r="H59" s="1"/>
  <c r="U22" i="105"/>
  <c r="G63" i="119"/>
  <c r="H63" s="1"/>
  <c r="U31" i="105"/>
  <c r="G67" i="119"/>
  <c r="H67" s="1"/>
  <c r="G71"/>
  <c r="H71" s="1"/>
  <c r="U47" i="105"/>
  <c r="G75" i="119"/>
  <c r="H75" s="1"/>
  <c r="U54" i="105"/>
  <c r="G79" i="119"/>
  <c r="H79" s="1"/>
  <c r="V67" i="106"/>
  <c r="U32" i="105"/>
  <c r="G68" i="119"/>
  <c r="H68" s="1"/>
  <c r="G72"/>
  <c r="H72" s="1"/>
  <c r="W40" i="106"/>
  <c r="U52" i="105"/>
  <c r="G77" i="119"/>
  <c r="H77" s="1"/>
  <c r="U55" i="105"/>
  <c r="G80" i="119"/>
  <c r="H80" s="1"/>
  <c r="U21" i="105"/>
  <c r="G62" i="119"/>
  <c r="H62" s="1"/>
  <c r="U30" i="105"/>
  <c r="G66" i="119"/>
  <c r="H66" s="1"/>
  <c r="G70"/>
  <c r="H70" s="1"/>
  <c r="U53" i="105"/>
  <c r="G78" i="119"/>
  <c r="H78" s="1"/>
  <c r="U36" i="105"/>
  <c r="G69" i="119"/>
  <c r="H69" s="1"/>
  <c r="U45" i="105"/>
  <c r="G73" i="119"/>
  <c r="H73" s="1"/>
  <c r="U46" i="105"/>
  <c r="G74" i="119"/>
  <c r="H74" s="1"/>
  <c r="U14" i="105"/>
  <c r="S7"/>
  <c r="U3" i="106"/>
  <c r="U5" s="1"/>
  <c r="S5" s="1"/>
  <c r="U4" i="110"/>
  <c r="U6" s="1"/>
  <c r="S6" s="1"/>
  <c r="U5" i="112"/>
  <c r="S5" s="1"/>
  <c r="S4" i="109"/>
  <c r="M4" s="1"/>
  <c r="H11" i="88"/>
  <c r="H17"/>
  <c r="W57" i="106"/>
  <c r="V33"/>
  <c r="W23"/>
  <c r="V17"/>
  <c r="W75"/>
  <c r="U3" i="108"/>
  <c r="U5" s="1"/>
  <c r="T3"/>
  <c r="T5" s="1"/>
  <c r="S5" i="109"/>
  <c r="M5" s="1"/>
  <c r="T3" i="107"/>
  <c r="E9" i="88" s="1"/>
  <c r="U3" i="107"/>
  <c r="U5" s="1"/>
  <c r="E15" i="88"/>
  <c r="S4" i="105"/>
  <c r="E4" s="1"/>
  <c r="T4"/>
  <c r="T6" s="1"/>
  <c r="U13"/>
  <c r="U20"/>
  <c r="S4" i="106"/>
  <c r="M4" s="1"/>
  <c r="E12" i="88"/>
  <c r="E4" i="108"/>
  <c r="E4" i="107"/>
  <c r="E4" i="106"/>
  <c r="D59" i="95"/>
  <c r="T57"/>
  <c r="S57"/>
  <c r="T56"/>
  <c r="S56"/>
  <c r="T55"/>
  <c r="S55"/>
  <c r="T54"/>
  <c r="S54"/>
  <c r="T50"/>
  <c r="S50"/>
  <c r="T49"/>
  <c r="S49"/>
  <c r="T48"/>
  <c r="S48"/>
  <c r="T47"/>
  <c r="S47"/>
  <c r="T41"/>
  <c r="S41"/>
  <c r="T40"/>
  <c r="S40"/>
  <c r="T34"/>
  <c r="S34"/>
  <c r="T33"/>
  <c r="S33"/>
  <c r="T25"/>
  <c r="S25"/>
  <c r="T24"/>
  <c r="S24"/>
  <c r="T18"/>
  <c r="S18"/>
  <c r="T17"/>
  <c r="S17"/>
  <c r="T39"/>
  <c r="S39"/>
  <c r="T38"/>
  <c r="S38"/>
  <c r="T32"/>
  <c r="S32"/>
  <c r="T31"/>
  <c r="S31"/>
  <c r="T23"/>
  <c r="S23"/>
  <c r="T22"/>
  <c r="S22"/>
  <c r="T16"/>
  <c r="S16"/>
  <c r="T15"/>
  <c r="S15"/>
  <c r="G81" i="119" s="1"/>
  <c r="H81" s="1"/>
  <c r="D14" i="88"/>
  <c r="D7"/>
  <c r="H2"/>
  <c r="I81" i="119" l="1"/>
  <c r="J81"/>
  <c r="I77"/>
  <c r="J77"/>
  <c r="J65"/>
  <c r="I65"/>
  <c r="I69"/>
  <c r="J69"/>
  <c r="I73"/>
  <c r="J73"/>
  <c r="J78"/>
  <c r="I78"/>
  <c r="I80"/>
  <c r="J80"/>
  <c r="I79"/>
  <c r="J79"/>
  <c r="J74"/>
  <c r="I74"/>
  <c r="J75"/>
  <c r="I75"/>
  <c r="I72"/>
  <c r="J72"/>
  <c r="I71"/>
  <c r="J71"/>
  <c r="I66"/>
  <c r="J66"/>
  <c r="I70"/>
  <c r="J70"/>
  <c r="I68"/>
  <c r="J68"/>
  <c r="I67"/>
  <c r="J67"/>
  <c r="I60"/>
  <c r="J60"/>
  <c r="I59"/>
  <c r="J59"/>
  <c r="I64"/>
  <c r="J64"/>
  <c r="I63"/>
  <c r="J63"/>
  <c r="I62"/>
  <c r="J62"/>
  <c r="U38" i="95"/>
  <c r="G93" i="119"/>
  <c r="H93" s="1"/>
  <c r="U24" i="95"/>
  <c r="G87" i="119"/>
  <c r="H87" s="1"/>
  <c r="U56" i="95"/>
  <c r="G103" i="119"/>
  <c r="H103" s="1"/>
  <c r="U32" i="95"/>
  <c r="G90" i="119"/>
  <c r="H90" s="1"/>
  <c r="U34" i="95"/>
  <c r="G92" i="119"/>
  <c r="H92" s="1"/>
  <c r="U33" i="95"/>
  <c r="G91" i="119"/>
  <c r="H91" s="1"/>
  <c r="U40" i="95"/>
  <c r="G95" i="119"/>
  <c r="H95" s="1"/>
  <c r="U22" i="95"/>
  <c r="G85" i="119"/>
  <c r="H85" s="1"/>
  <c r="U49" i="95"/>
  <c r="G99" i="119"/>
  <c r="H99" s="1"/>
  <c r="U16" i="95"/>
  <c r="G82" i="119"/>
  <c r="H82" s="1"/>
  <c r="U18" i="95"/>
  <c r="G84" i="119"/>
  <c r="H84" s="1"/>
  <c r="U55" i="95"/>
  <c r="G102" i="119"/>
  <c r="H102" s="1"/>
  <c r="U31" i="95"/>
  <c r="G89" i="119"/>
  <c r="H89" s="1"/>
  <c r="U17" i="95"/>
  <c r="G83" i="119"/>
  <c r="H83" s="1"/>
  <c r="U47" i="95"/>
  <c r="G97" i="119"/>
  <c r="H97" s="1"/>
  <c r="U54" i="95"/>
  <c r="G101" i="119"/>
  <c r="H101" s="1"/>
  <c r="U23" i="95"/>
  <c r="G86" i="119"/>
  <c r="H86" s="1"/>
  <c r="U39" i="95"/>
  <c r="G94" i="119"/>
  <c r="H94" s="1"/>
  <c r="U25" i="95"/>
  <c r="G88" i="119"/>
  <c r="H88" s="1"/>
  <c r="U41" i="95"/>
  <c r="G96" i="119"/>
  <c r="H96" s="1"/>
  <c r="U50" i="95"/>
  <c r="G100" i="119"/>
  <c r="H100" s="1"/>
  <c r="U57" i="95"/>
  <c r="G104" i="119"/>
  <c r="H104" s="1"/>
  <c r="U48" i="95"/>
  <c r="G98" i="119"/>
  <c r="H98" s="1"/>
  <c r="H12" i="88"/>
  <c r="S5" i="110"/>
  <c r="S7" i="95"/>
  <c r="H15" i="88"/>
  <c r="H10"/>
  <c r="T4" i="95"/>
  <c r="E14" i="88" s="1"/>
  <c r="S5" i="108"/>
  <c r="M5" s="1"/>
  <c r="S4"/>
  <c r="E10" i="88"/>
  <c r="E13"/>
  <c r="S4" i="107"/>
  <c r="T5"/>
  <c r="S5" s="1"/>
  <c r="M5" s="1"/>
  <c r="H9" i="88"/>
  <c r="U4" i="105"/>
  <c r="U15" i="95"/>
  <c r="S4"/>
  <c r="U16" i="88" s="1"/>
  <c r="Q16" s="1"/>
  <c r="J96" i="119" l="1"/>
  <c r="I96"/>
  <c r="I86"/>
  <c r="J86"/>
  <c r="I93"/>
  <c r="J93"/>
  <c r="J94"/>
  <c r="I94"/>
  <c r="I83"/>
  <c r="J83"/>
  <c r="J82"/>
  <c r="I82"/>
  <c r="I87"/>
  <c r="J87"/>
  <c r="I101"/>
  <c r="J101"/>
  <c r="J85"/>
  <c r="I85"/>
  <c r="J89"/>
  <c r="I89"/>
  <c r="I88"/>
  <c r="J88"/>
  <c r="I97"/>
  <c r="J97"/>
  <c r="I84"/>
  <c r="J84"/>
  <c r="J95"/>
  <c r="I95"/>
  <c r="I103"/>
  <c r="J103"/>
  <c r="J104"/>
  <c r="I104"/>
  <c r="I102"/>
  <c r="J102"/>
  <c r="I100"/>
  <c r="J100"/>
  <c r="I99"/>
  <c r="J99"/>
  <c r="I98"/>
  <c r="J98"/>
  <c r="I92"/>
  <c r="J92"/>
  <c r="I91"/>
  <c r="J91"/>
  <c r="I90"/>
  <c r="J90"/>
  <c r="E23" i="88"/>
  <c r="E25" s="1"/>
  <c r="E27" s="1"/>
  <c r="U4" i="95"/>
  <c r="H14" i="88" s="1"/>
  <c r="M4" i="108"/>
  <c r="M4" i="107"/>
  <c r="U6" i="105"/>
  <c r="S5"/>
  <c r="M4" s="1"/>
  <c r="H13" i="88"/>
  <c r="M5" i="110"/>
  <c r="M4"/>
  <c r="S5" i="95"/>
  <c r="M4" s="1"/>
  <c r="E4"/>
  <c r="H23" i="88" l="1"/>
  <c r="H25" s="1"/>
  <c r="H27" s="1"/>
  <c r="U6" i="95"/>
  <c r="S6" i="105"/>
  <c r="M5" s="1"/>
  <c r="M5" i="112"/>
  <c r="M5" i="106"/>
  <c r="T6" i="95" l="1"/>
  <c r="S6" l="1"/>
  <c r="M5" s="1"/>
  <c r="M5" i="117"/>
  <c r="M5" i="113"/>
</calcChain>
</file>

<file path=xl/comments1.xml><?xml version="1.0" encoding="utf-8"?>
<comments xmlns="http://schemas.openxmlformats.org/spreadsheetml/2006/main">
  <authors>
    <author>mvandeh</author>
  </authors>
  <commentList>
    <comment ref="T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0.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1.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2.xml><?xml version="1.0" encoding="utf-8"?>
<comments xmlns="http://schemas.openxmlformats.org/spreadsheetml/2006/main">
  <authors>
    <author>mvandeh</author>
  </authors>
  <commentList>
    <comment ref="V3"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3.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4.xml><?xml version="1.0" encoding="utf-8"?>
<comments xmlns="http://schemas.openxmlformats.org/spreadsheetml/2006/main">
  <authors>
    <author>mvandeh</author>
  </authors>
  <commentList>
    <comment ref="W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5.xml><?xml version="1.0" encoding="utf-8"?>
<comments xmlns="http://schemas.openxmlformats.org/spreadsheetml/2006/main">
  <authors>
    <author>mvandeh</author>
  </authors>
  <commentList>
    <comment ref="X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2.xml><?xml version="1.0" encoding="utf-8"?>
<comments xmlns="http://schemas.openxmlformats.org/spreadsheetml/2006/main">
  <authors>
    <author>mvandeh</author>
  </authors>
  <commentList>
    <comment ref="Y3"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3.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4.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5.xml><?xml version="1.0" encoding="utf-8"?>
<comments xmlns="http://schemas.openxmlformats.org/spreadsheetml/2006/main">
  <authors>
    <author>mvandeh</author>
  </authors>
  <commentList>
    <comment ref="X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6.xml><?xml version="1.0" encoding="utf-8"?>
<comments xmlns="http://schemas.openxmlformats.org/spreadsheetml/2006/main">
  <authors>
    <author>mvandeh</author>
  </authors>
  <commentList>
    <comment ref="X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7.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8.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9.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sharedStrings.xml><?xml version="1.0" encoding="utf-8"?>
<sst xmlns="http://schemas.openxmlformats.org/spreadsheetml/2006/main" count="4474" uniqueCount="610">
  <si>
    <t xml:space="preserve"> </t>
  </si>
  <si>
    <t>Maggie Vandehey</t>
  </si>
  <si>
    <t>does not apply</t>
  </si>
  <si>
    <t>Post filing</t>
  </si>
  <si>
    <t>Nicole Vick</t>
  </si>
  <si>
    <t xml:space="preserve">Public comment email box </t>
  </si>
  <si>
    <t xml:space="preserve">Rule design team email group </t>
  </si>
  <si>
    <t>Email folder</t>
  </si>
  <si>
    <t>Advisory Committee email group</t>
  </si>
  <si>
    <t>Advisors</t>
  </si>
  <si>
    <t>DEQ Rulemaking</t>
  </si>
  <si>
    <t>Physical record</t>
  </si>
  <si>
    <t>Days Added to schedule</t>
  </si>
  <si>
    <r>
      <t xml:space="preserve">DDLs called from </t>
    </r>
    <r>
      <rPr>
        <b/>
        <i/>
        <sz val="18"/>
        <color theme="1"/>
        <rFont val="Cambria"/>
        <family val="1"/>
        <scheme val="minor"/>
      </rPr>
      <t>Resources</t>
    </r>
  </si>
  <si>
    <r>
      <t xml:space="preserve">Called from </t>
    </r>
    <r>
      <rPr>
        <i/>
        <sz val="12"/>
        <rFont val="Cambria"/>
        <family val="1"/>
        <scheme val="minor"/>
      </rPr>
      <t>Resources</t>
    </r>
  </si>
  <si>
    <t>STAFF</t>
  </si>
  <si>
    <t>MANAGER</t>
  </si>
  <si>
    <t>ADMINISTRATOR</t>
  </si>
  <si>
    <t>Select hours</t>
  </si>
  <si>
    <t>Workload indicator</t>
  </si>
  <si>
    <t>Level involved</t>
  </si>
  <si>
    <t>very low</t>
  </si>
  <si>
    <t>low</t>
  </si>
  <si>
    <t>medium</t>
  </si>
  <si>
    <t>high</t>
  </si>
  <si>
    <t>very high</t>
  </si>
  <si>
    <t>VL_HighMedLow</t>
  </si>
  <si>
    <t>Minimum</t>
  </si>
  <si>
    <t>Max</t>
  </si>
  <si>
    <t>Message</t>
  </si>
  <si>
    <t xml:space="preserve">  </t>
  </si>
  <si>
    <t>Limited impact on operations or staff</t>
  </si>
  <si>
    <t>b. Capability</t>
  </si>
  <si>
    <t>Program/DEQ has extensive experience with previous comparable outputs</t>
  </si>
  <si>
    <t>Program/DEQ has experience with comparable projects but this project has new complexities</t>
  </si>
  <si>
    <t>No previous experience with this type of proposal</t>
  </si>
  <si>
    <t>Fully resourced, skilled management and team, no recruitment or specialist training</t>
  </si>
  <si>
    <t>Some impact on operations, retraining, transfer or reassigning staff</t>
  </si>
  <si>
    <t>Significant impact on operations, restructuring, potential for high profile failure</t>
  </si>
  <si>
    <t>a. Organizational</t>
  </si>
  <si>
    <t>c. Skills and experience</t>
  </si>
  <si>
    <t>Project record</t>
  </si>
  <si>
    <t>DEQ resource risks</t>
  </si>
  <si>
    <t>Start each email Subject line with</t>
  </si>
  <si>
    <t>Key skills and experience in place but recruitment or training required</t>
  </si>
  <si>
    <t>Organizational</t>
  </si>
  <si>
    <t>Capability</t>
  </si>
  <si>
    <t>Skills and Experience</t>
  </si>
  <si>
    <t>Best practices: maintaining rulemaking record</t>
  </si>
  <si>
    <t>Resource risks</t>
  </si>
  <si>
    <t xml:space="preserve">Key skills or experience not in place, recruitment or extensive training required </t>
  </si>
  <si>
    <t>Pre filing</t>
  </si>
  <si>
    <t>Implementation</t>
  </si>
  <si>
    <t>Development</t>
  </si>
  <si>
    <t>Hours</t>
  </si>
  <si>
    <t>Number of staff involved</t>
  </si>
  <si>
    <t>DEQ 2012 average hourly  $</t>
  </si>
  <si>
    <t>Estimated range</t>
  </si>
  <si>
    <t xml:space="preserve">Staff cost </t>
  </si>
  <si>
    <t>Financial Services</t>
  </si>
  <si>
    <t>Name</t>
  </si>
  <si>
    <t>Regions</t>
  </si>
  <si>
    <t>Other Divisions</t>
  </si>
  <si>
    <t>Core Team</t>
  </si>
  <si>
    <t>Role and Responsibilities</t>
  </si>
  <si>
    <t>The lead administrator: 
    • In consultation with the lead manager, approves initial work on the Considerations and Resources worksheets.  
    • Ensures the program manager and the team has adequate and appropriate resources
    • Advises the team as needed 
    • Reviews, approves, denies or delays concept for consistency with cross-program and divisional priorities
    • Leads the EMT presentation for this concept during the plan review</t>
  </si>
  <si>
    <t>MESSAGE</t>
  </si>
  <si>
    <t>DEQ 2012 average hourly                                      $</t>
  </si>
  <si>
    <t>DEQ 2012 average hourly                             $</t>
  </si>
  <si>
    <t>If needed, DOJ provides legal advice to ensure legal sufficiency, defensibility and enforceability and to determine if we are within our authority and consistent with statute.</t>
  </si>
  <si>
    <t>Area of interest</t>
  </si>
  <si>
    <t>Q-time for devloping this plan</t>
  </si>
  <si>
    <t>Q-time for NAME PURPOSE</t>
  </si>
  <si>
    <t>R.DDL_HighMedLow</t>
  </si>
  <si>
    <t>R.DDL_DEQResourcesInvolved</t>
  </si>
  <si>
    <t>R.VL_DEQResourcesInvolved</t>
  </si>
  <si>
    <t>R.DDL_DEQStaffRank</t>
  </si>
  <si>
    <t>LEAD</t>
  </si>
  <si>
    <t>Communications and Outreach</t>
  </si>
  <si>
    <t>High</t>
  </si>
  <si>
    <t>Risk Management</t>
  </si>
  <si>
    <t>Organizational Services</t>
  </si>
  <si>
    <t>2012 - Average DEQ hourly cost</t>
  </si>
  <si>
    <t>Technical Services</t>
  </si>
  <si>
    <t>Laboratory and Environmental Assessment Division</t>
  </si>
  <si>
    <t>Project name</t>
  </si>
  <si>
    <t>Intergovernmental</t>
  </si>
  <si>
    <t>Custom Participants</t>
  </si>
  <si>
    <t xml:space="preserve">Estimated hours              </t>
  </si>
  <si>
    <t>Total hours</t>
  </si>
  <si>
    <t>~</t>
  </si>
  <si>
    <t xml:space="preserve">Estimated cost                                                                                      </t>
  </si>
  <si>
    <t>2012 DEQ avg. staff cost per hour</t>
  </si>
  <si>
    <t>R.2aOrgRisk</t>
  </si>
  <si>
    <t>R.2bOrgRisk</t>
  </si>
  <si>
    <t>R.2cOrgRisk</t>
  </si>
  <si>
    <t>Electronic record: Rules Development</t>
  </si>
  <si>
    <t>Electronic record: SharePoint</t>
  </si>
  <si>
    <t>Resources identified</t>
  </si>
  <si>
    <t>The subject expert works with the lead manager and rules coordinator (team) to develop the concept in the Considerations and Resources workbooks by:
    • Working with the rules coordinator to meet shared responsibilities listed under Rule Coordinator section below
    • Developing the rough draft using what she or he:
        - Knows now, or 
        - Can readily find out
   • Participating in the team work session to refine the draft
   • Participating in briefing the lead administrator 
   • Reconciling the lead administrator’s comments with the draft workbooks</t>
  </si>
  <si>
    <t xml:space="preserve">The rules coordinator is the expert on the rulemaking process. The RC is responsible for helping the subject expert in:
     •  Developing and maintaining the:
          - Blueprint and SharePoint site
          - Schedule 
     •  Engaging DEQ resources
     •  Reviewing all written materials and editing for:
         - plain English
         - DEQ Style Guide 
     • Ensuring that each plan has all required reviews and approvals before:  
         - Submitting to the regional or division administrator
         - Checking in workbooks for adding to the consolidated DEQ plan  </t>
  </si>
  <si>
    <t>The Project Assistant is responsible for helping the rulemaking team in:
• Helping team maintain advisory committee list, minutes and agendas
• Scheduling meeting rooms and equipment
• Managing iLinc, conference call-in numbers, mailings and GovDelivery
• Working with team to maintain physical and electronic records</t>
  </si>
  <si>
    <t>Optional discussion</t>
  </si>
  <si>
    <r>
      <t xml:space="preserve">drop down </t>
    </r>
    <r>
      <rPr>
        <sz val="11"/>
        <color rgb="FF1F497D"/>
        <rFont val="Cambria Math"/>
        <family val="1"/>
      </rPr>
      <t>⧁</t>
    </r>
  </si>
  <si>
    <t>⧀ Go to Content</t>
  </si>
  <si>
    <t xml:space="preserve">Public Information Representative </t>
  </si>
  <si>
    <t>Web Communications</t>
  </si>
  <si>
    <t>on Q-net</t>
  </si>
  <si>
    <t>Go to Top</t>
  </si>
  <si>
    <t>Go to Q-Time</t>
  </si>
  <si>
    <t>Go to DEQ</t>
  </si>
  <si>
    <t>Go to DOJ</t>
  </si>
  <si>
    <t>on DAS</t>
  </si>
  <si>
    <t>Go to LRAPA</t>
  </si>
  <si>
    <t>Go to EPA</t>
  </si>
  <si>
    <t>See map</t>
  </si>
  <si>
    <t>Go to SDAO</t>
  </si>
  <si>
    <t>Go to Work Groups</t>
  </si>
  <si>
    <t>Subject Expert (SE)</t>
  </si>
  <si>
    <t>Lead Manager</t>
  </si>
  <si>
    <t>Lead Administrator</t>
  </si>
  <si>
    <t>Project Assistant</t>
  </si>
  <si>
    <t>Agency Rules Coordinator</t>
  </si>
  <si>
    <t>State Implementation Plan Coordinator</t>
  </si>
  <si>
    <t>Environmental Quality Commission</t>
  </si>
  <si>
    <t>Land Quality</t>
  </si>
  <si>
    <t>Water Quality</t>
  </si>
  <si>
    <t>Air Quality</t>
  </si>
  <si>
    <t>Monitoring</t>
  </si>
  <si>
    <t>Analytical testing</t>
  </si>
  <si>
    <t>LRAPA</t>
  </si>
  <si>
    <t>EPA Region 10</t>
  </si>
  <si>
    <t>Municipalities</t>
  </si>
  <si>
    <t>Counties</t>
  </si>
  <si>
    <t>Special Districts</t>
  </si>
  <si>
    <t>Quality Assurance</t>
  </si>
  <si>
    <t>Divisional Technical</t>
  </si>
  <si>
    <t>Information Technology</t>
  </si>
  <si>
    <t>Business Systems Development</t>
  </si>
  <si>
    <t>Training</t>
  </si>
  <si>
    <t>Health and Safety</t>
  </si>
  <si>
    <t>Policy and Procedures</t>
  </si>
  <si>
    <t>Human Resources</t>
  </si>
  <si>
    <t>Communications Strategies</t>
  </si>
  <si>
    <t>Accounting</t>
  </si>
  <si>
    <t>Contracts</t>
  </si>
  <si>
    <t>Budget</t>
  </si>
  <si>
    <t>Eastern Region</t>
  </si>
  <si>
    <t xml:space="preserve">Western Region </t>
  </si>
  <si>
    <t>Northwest Region</t>
  </si>
  <si>
    <t>Compliance &amp; Enforcement</t>
  </si>
  <si>
    <t>on SOS</t>
  </si>
  <si>
    <t>Compliance and Enforcement</t>
  </si>
  <si>
    <t>Tribal Government Relations</t>
  </si>
  <si>
    <t>William Knight</t>
  </si>
  <si>
    <t>Public notice document review and communication plan strategy</t>
  </si>
  <si>
    <t>Elle Kozlowski</t>
  </si>
  <si>
    <t>Posting program page and required public notice documents to proposed rulemaking page.</t>
  </si>
  <si>
    <t>Post to adopted rules page and archive notices to Q-Net.</t>
  </si>
  <si>
    <t>Joanie Stevens-Schwenger (editor)</t>
  </si>
  <si>
    <t>Risks</t>
  </si>
  <si>
    <t>Low</t>
  </si>
  <si>
    <t>Annual DEQ Rulemaking Plan year</t>
  </si>
  <si>
    <t xml:space="preserve">##### </t>
  </si>
  <si>
    <t>Shortened names</t>
  </si>
  <si>
    <t>Division</t>
  </si>
  <si>
    <t xml:space="preserve">Central rulemaking file, then offsite Archives </t>
  </si>
  <si>
    <t>Project number</t>
  </si>
  <si>
    <t>######</t>
  </si>
  <si>
    <t>Y</t>
  </si>
  <si>
    <t>N</t>
  </si>
  <si>
    <t>Work off plate</t>
  </si>
  <si>
    <r>
      <t>The lead manager is a contributing member on the team who will be:  
   • Consulting with th</t>
    </r>
    <r>
      <rPr>
        <sz val="10"/>
        <rFont val="Cambria"/>
        <family val="1"/>
        <scheme val="minor"/>
      </rPr>
      <t>e lead administrator and approving the initial work on the Considerations and Resources workbooks</t>
    </r>
    <r>
      <rPr>
        <sz val="10"/>
        <color theme="1"/>
        <rFont val="Cambria"/>
        <family val="1"/>
        <scheme val="minor"/>
      </rPr>
      <t xml:space="preserve">
   • Notifying the subject expert to develop the workbooks in rough draft
   • Stopping/delaying work if the rough draft is out of sync with current section or program priorities
   • Raising potential issues to the lead administrator 
   • Participating in team work sessions to refine the workbooks   
   • Reviewing and approving the release of the workbooks to the lead administrator  
   • Participating in briefing the lead administrator 
   • Reviews the 2013 DEQ Rulemaking Plan to ensure concept accuracy 
   • Participates in the EMT’s 2013 DEQ Annual Plan review </t>
    </r>
  </si>
  <si>
    <t>SIP Coordinator</t>
  </si>
  <si>
    <t>Budget analyst</t>
  </si>
  <si>
    <t xml:space="preserve">
</t>
  </si>
  <si>
    <t>Review and approve Economic and Fiscal Impact Statement</t>
  </si>
  <si>
    <t>Please describe what you know now about Financial Services capacity.</t>
  </si>
  <si>
    <t>Compliance and Enforcement - not listed on other worksheets</t>
  </si>
  <si>
    <t>Workbook summary</t>
  </si>
  <si>
    <t>Shares information about DEQ best practices; ensures documents meet rulemaking procedural requirements; reviews DAS fee submittals; reviews, approves and submits SOS notice and filing. Participates in some team meetings and training. Backup for division rules coordinator.</t>
  </si>
  <si>
    <t>D</t>
  </si>
  <si>
    <t>EQC</t>
  </si>
  <si>
    <t>Discussion</t>
  </si>
  <si>
    <t>Chair</t>
  </si>
  <si>
    <t>Vice Chair</t>
  </si>
  <si>
    <t>EQC - all members</t>
  </si>
  <si>
    <t xml:space="preserve">EMT </t>
  </si>
  <si>
    <t>Jane O'Keeffee</t>
  </si>
  <si>
    <t>Ed Armstrong</t>
  </si>
  <si>
    <t>Morgan Rider</t>
  </si>
  <si>
    <t>Commissioner</t>
  </si>
  <si>
    <t>Bill Blosser</t>
  </si>
  <si>
    <t>Pending appointment</t>
  </si>
  <si>
    <t xml:space="preserve">Management Service </t>
  </si>
  <si>
    <t>if not on other worksheets</t>
  </si>
  <si>
    <t>`</t>
  </si>
  <si>
    <t>A</t>
  </si>
  <si>
    <t>The SIP coordinator is responsible for helping the subject expert meet federal requirements that include timelines, EPA review, public notice process, SIP numbering and submissions.</t>
  </si>
  <si>
    <t xml:space="preserve">Interested Staff </t>
  </si>
  <si>
    <t>B</t>
  </si>
  <si>
    <t>C</t>
  </si>
  <si>
    <t>R.DDL_ProjectPhase</t>
  </si>
  <si>
    <t>R.DDL_WorkGroup</t>
  </si>
  <si>
    <t>Subject Expert</t>
  </si>
  <si>
    <t>4Advisors</t>
  </si>
  <si>
    <t>Process Expert</t>
  </si>
  <si>
    <t>Custom Role 1</t>
  </si>
  <si>
    <t>Custom Role 2</t>
  </si>
  <si>
    <t>Assistant AG</t>
  </si>
  <si>
    <t>MSD</t>
  </si>
  <si>
    <t>Staff</t>
  </si>
  <si>
    <t>Phase</t>
  </si>
  <si>
    <t>Eastern</t>
  </si>
  <si>
    <t>Western</t>
  </si>
  <si>
    <t>NW</t>
  </si>
  <si>
    <t>Lead Manager (LM)</t>
  </si>
  <si>
    <t>Lead Administrator (LA)</t>
  </si>
  <si>
    <t>Process Expert (PE)</t>
  </si>
  <si>
    <t>Project Assistant (PA)</t>
  </si>
  <si>
    <t>Hrs Rank</t>
  </si>
  <si>
    <t>LA name</t>
  </si>
  <si>
    <t>PE name</t>
  </si>
  <si>
    <t>CR1 name</t>
  </si>
  <si>
    <t>Cr2 name</t>
  </si>
  <si>
    <t>Larry Knudsen</t>
  </si>
  <si>
    <t>R.DDL_YNNA</t>
  </si>
  <si>
    <t>N/A</t>
  </si>
  <si>
    <t>?</t>
  </si>
  <si>
    <t>&lt; 1 hour</t>
  </si>
  <si>
    <t>1360 to 2080</t>
  </si>
  <si>
    <t>1 to 8 hrs</t>
  </si>
  <si>
    <t>8 to 40 hrs</t>
  </si>
  <si>
    <t>40  to 80 hrs</t>
  </si>
  <si>
    <t>80 to 170 hrs</t>
  </si>
  <si>
    <t>170 to 340 hrs</t>
  </si>
  <si>
    <t>340 to 680 hrs</t>
  </si>
  <si>
    <t>680 to 1020 hrs</t>
  </si>
  <si>
    <t>1020 to 1360 hrs</t>
  </si>
  <si>
    <t>over 2080 hrs</t>
  </si>
  <si>
    <t>Interested Staff and EQC</t>
  </si>
  <si>
    <t>Enter custom role 1</t>
  </si>
  <si>
    <t>Enter custom role 2</t>
  </si>
  <si>
    <t>Enter custom role 3</t>
  </si>
  <si>
    <t>Enter custom role 4</t>
  </si>
  <si>
    <t xml:space="preserve">For estimated hour ranges that are 170 hours or more, talk with the Financial Services Manager about:
   • The estimate,
   • The group's capacity to complete the potential work, and
   • The estimated quarterly schedule. 
If the EMT approves the proposal on the annual DEQ rulemaking plan, the team would refine this information as they learn more about the proposed rule. The team would involve Financial Services at the appropriate time. </t>
  </si>
  <si>
    <t xml:space="preserve">For estimated hour ranges that are 170 hours or more, talk with the manager about:
   • The estimate,
   • The group's capacity to complete the potential work, and
   • The estimated quarterly schedule. 
If the EMT approves the proposal on the annual DEQ rulemaking plan, the team would refine this information as they learn more about the proposed rule. The team would involve the Office of Communications and Outreach at the appropriate time. </t>
  </si>
  <si>
    <t xml:space="preserve">For estimated hour ranges that are 170 hours or more, talk with the manager about:
   • The estimate,
   • The group's capacity to complete the potential work, and
   • The estimated quarterly schedule. 
If the EMT approves the proposal on the annual DEQ rulemaking plan, the team would refine this information as they learn more about the proposed rule. The team would involve Organizations Services at the appropriate time. </t>
  </si>
  <si>
    <t xml:space="preserve">For estimated hour ranges that are 170 hours or more, talk with the manager about:
   • The estimate,
   • The group's capacity to complete the potential work, and
   • The estimated quarterly schedule. 
If the EMT approves the proposal on the annual DEQ rulemaking plan, the team would refine this information as they learn more about the proposed rule. The team would involve Technical Services at the appropriate time. </t>
  </si>
  <si>
    <t xml:space="preserve">For estimated hour ranges that are 170 hours or more, talk with the manager about:
   • The estimate,
   • The group's capacity to complete the potential work, and
   • The estimated quarterly schedule. 
If the EMT approves the proposal on the annual DEQ rulemaking plan, the team would refine this information as they learn more about the proposed rule. The team would involve the Office of Compliance and Enforcement at the appropriate time. </t>
  </si>
  <si>
    <t xml:space="preserve">For estimated hour ranges that are 170 hours or more, talk with the manager about:
   • The estimate,
   • The group's capacity to complete the potential work, and
   • The estimated quarterly schedule. 
If the EMT approves the proposal on the annual DEQ rulemaking plan, the team would refine this information as they learn more about the proposed rule. The process expert would involve the Laboratory and Environmental Assessment Division at the appropriate time. </t>
  </si>
  <si>
    <t xml:space="preserve">For estimated hour ranges that are 170 hours or more, talk with the manager about:
   • The estimate,
   • The group's capacity to complete the potential work, and
   • The estimated quarterly schedule. 
If the EMT approves the proposal on the annual DEQ rulemaking plan, the team would refine this information as they learn more about the proposed rule. The team would involve the regions at the appropriate time. </t>
  </si>
  <si>
    <t xml:space="preserve">For estimated hour ranges that are 170 hours or more, talk with the manager about:
   • The estimate,
   • The group's capacity to complete the potential work, and
   • The estimated quarterly schedule. 
If the EMT approves the proposal on the annual DEQ rulemaking plan, the team would refine this information as they learn more about the proposed rule. The team would involve other divisions at the appropriate time. </t>
  </si>
  <si>
    <t>Media</t>
  </si>
  <si>
    <t>Worksheet</t>
  </si>
  <si>
    <t>Role/Group</t>
  </si>
  <si>
    <t>3Core Team</t>
  </si>
  <si>
    <t>5Interested Staff</t>
  </si>
  <si>
    <t>6OtherDivisions</t>
  </si>
  <si>
    <t>7Regions</t>
  </si>
  <si>
    <t>8Financial Services</t>
  </si>
  <si>
    <t>9OCO</t>
  </si>
  <si>
    <t>10OrgServices</t>
  </si>
  <si>
    <t>11TechServices</t>
  </si>
  <si>
    <t>12OCE</t>
  </si>
  <si>
    <t>13LEAD</t>
  </si>
  <si>
    <t>14InterGvmt</t>
  </si>
  <si>
    <t>15Custom</t>
  </si>
  <si>
    <t>Competing projects</t>
  </si>
  <si>
    <t>RM Name2</t>
  </si>
  <si>
    <t>Interested staff</t>
  </si>
  <si>
    <t>Communications</t>
  </si>
  <si>
    <t>Public Information Rep.</t>
  </si>
  <si>
    <t>Division Technical</t>
  </si>
  <si>
    <t>Business System Development</t>
  </si>
  <si>
    <t>Tribal Gvmt. Relations</t>
  </si>
  <si>
    <t>2012.11</t>
  </si>
  <si>
    <t>2012.12</t>
  </si>
  <si>
    <t>2013.01</t>
  </si>
  <si>
    <t>2013.02</t>
  </si>
  <si>
    <t>In PD</t>
  </si>
  <si>
    <t>In Work Plan</t>
  </si>
  <si>
    <t>2013.03</t>
  </si>
  <si>
    <t>2013.04</t>
  </si>
  <si>
    <t>2013.05</t>
  </si>
  <si>
    <t>2013.06</t>
  </si>
  <si>
    <t>2013.07</t>
  </si>
  <si>
    <t>2013.08</t>
  </si>
  <si>
    <t>2013.09</t>
  </si>
  <si>
    <t>2013.10</t>
  </si>
  <si>
    <t>2013.11</t>
  </si>
  <si>
    <t>2013.12</t>
  </si>
  <si>
    <t>2014.01</t>
  </si>
  <si>
    <t>2014.02</t>
  </si>
  <si>
    <t>2014.03</t>
  </si>
  <si>
    <t>2014.04</t>
  </si>
  <si>
    <t>2014.05</t>
  </si>
  <si>
    <t>2014.06</t>
  </si>
  <si>
    <t>2014.07</t>
  </si>
  <si>
    <t>2014.08</t>
  </si>
  <si>
    <t>2014.09</t>
  </si>
  <si>
    <t>2014.10</t>
  </si>
  <si>
    <t>2014.11</t>
  </si>
  <si>
    <t>2014.12</t>
  </si>
  <si>
    <t>2015.01</t>
  </si>
  <si>
    <t>2015.02</t>
  </si>
  <si>
    <t>2015.03</t>
  </si>
  <si>
    <t>2015.04</t>
  </si>
  <si>
    <t>2015.05</t>
  </si>
  <si>
    <t>2015.06</t>
  </si>
  <si>
    <t>2015.07</t>
  </si>
  <si>
    <t>2015.08</t>
  </si>
  <si>
    <t>2015.09</t>
  </si>
  <si>
    <t>2015.10</t>
  </si>
  <si>
    <t>2015.11</t>
  </si>
  <si>
    <t>2015.12</t>
  </si>
  <si>
    <t>2016.01</t>
  </si>
  <si>
    <t>2016.02</t>
  </si>
  <si>
    <t>2016.03</t>
  </si>
  <si>
    <t xml:space="preserve">2013 Rulemaking Plan Workload </t>
  </si>
  <si>
    <t>Maximum Hrs</t>
  </si>
  <si>
    <t>Minimum Hrs</t>
  </si>
  <si>
    <t>Hrs</t>
  </si>
  <si>
    <t>R.VL_DEQResourcesHours</t>
  </si>
  <si>
    <t>Logged</t>
  </si>
  <si>
    <t>Corrected</t>
  </si>
  <si>
    <t>Version</t>
  </si>
  <si>
    <t>Error ID</t>
  </si>
  <si>
    <t>Date</t>
  </si>
  <si>
    <t>Cell</t>
  </si>
  <si>
    <t>Problem</t>
  </si>
  <si>
    <t>Solution</t>
  </si>
  <si>
    <t>Date2</t>
  </si>
  <si>
    <t>Base</t>
  </si>
  <si>
    <t>All</t>
  </si>
  <si>
    <t>1</t>
  </si>
  <si>
    <t>2</t>
  </si>
  <si>
    <t>3</t>
  </si>
  <si>
    <t>4</t>
  </si>
  <si>
    <t>5</t>
  </si>
  <si>
    <t>6</t>
  </si>
  <si>
    <t>7</t>
  </si>
  <si>
    <t>8</t>
  </si>
  <si>
    <t>9</t>
  </si>
  <si>
    <t>10</t>
  </si>
  <si>
    <t>11</t>
  </si>
  <si>
    <t>12</t>
  </si>
  <si>
    <t>13</t>
  </si>
  <si>
    <t>14</t>
  </si>
  <si>
    <t>15</t>
  </si>
  <si>
    <t>16</t>
  </si>
  <si>
    <t>17</t>
  </si>
  <si>
    <t>18</t>
  </si>
  <si>
    <t>19</t>
  </si>
  <si>
    <t>20</t>
  </si>
  <si>
    <t>21</t>
  </si>
  <si>
    <t>22</t>
  </si>
  <si>
    <t>23</t>
  </si>
  <si>
    <t>Nicole</t>
  </si>
  <si>
    <t>D22</t>
  </si>
  <si>
    <t xml:space="preserve">EMT listed as worksheet and no worksheet. </t>
  </si>
  <si>
    <t>D7:D21</t>
  </si>
  <si>
    <t>hyperlinks broken</t>
  </si>
  <si>
    <t>fixed links; defined names for headers</t>
  </si>
  <si>
    <t>Summary</t>
  </si>
  <si>
    <t>ProjectRecord</t>
  </si>
  <si>
    <t>A1</t>
  </si>
  <si>
    <t>hyperlink broken</t>
  </si>
  <si>
    <t>defined name for R.0Header</t>
  </si>
  <si>
    <t>G21</t>
  </si>
  <si>
    <t>comment box had dep</t>
  </si>
  <si>
    <t>edited hyperlink and formula to deq</t>
  </si>
  <si>
    <t>A21</t>
  </si>
  <si>
    <t>redirected link to R.2Header</t>
  </si>
  <si>
    <t>CoreTeam</t>
  </si>
  <si>
    <t>A53</t>
  </si>
  <si>
    <t>link directed to B2</t>
  </si>
  <si>
    <t>redirected link to R.3Header</t>
  </si>
  <si>
    <t>A41</t>
  </si>
  <si>
    <t>redirected link to R.4Header</t>
  </si>
  <si>
    <t>directed link to R.0Header</t>
  </si>
  <si>
    <t>InterestedStaff</t>
  </si>
  <si>
    <t>A31</t>
  </si>
  <si>
    <t>redirected link to R.5Header</t>
  </si>
  <si>
    <t>OtherDivisions</t>
  </si>
  <si>
    <t>A80</t>
  </si>
  <si>
    <t>redirected link to R.6Header</t>
  </si>
  <si>
    <t>A59</t>
  </si>
  <si>
    <t>redirected link to R.7Header</t>
  </si>
  <si>
    <t>FinancialServices</t>
  </si>
  <si>
    <t>A61</t>
  </si>
  <si>
    <t>OCO</t>
  </si>
  <si>
    <t>A43</t>
  </si>
  <si>
    <t>link went to nonspecific OCO</t>
  </si>
  <si>
    <t xml:space="preserve">redirected link to specific Web Rep </t>
  </si>
  <si>
    <t>redirected link to R.9Header</t>
  </si>
  <si>
    <t>A28</t>
  </si>
  <si>
    <t>OrgServices</t>
  </si>
  <si>
    <t>link was broken</t>
  </si>
  <si>
    <t>redirected link to DAS HR Unit</t>
  </si>
  <si>
    <t>redirected link to R.10Header</t>
  </si>
  <si>
    <t>A77</t>
  </si>
  <si>
    <t>TechServices</t>
  </si>
  <si>
    <t>redirected link to R.11Header</t>
  </si>
  <si>
    <t>A29</t>
  </si>
  <si>
    <t>OCE</t>
  </si>
  <si>
    <t>redirected link to R.12Header</t>
  </si>
  <si>
    <t>A62</t>
  </si>
  <si>
    <t>redirected link to R.13Header</t>
  </si>
  <si>
    <t>CustomPartic</t>
  </si>
  <si>
    <t>redirected link to R.14Header</t>
  </si>
  <si>
    <t>redirected link to R.15Header</t>
  </si>
  <si>
    <t>A75</t>
  </si>
  <si>
    <t>A109</t>
  </si>
  <si>
    <t>Y3</t>
  </si>
  <si>
    <t>Message box didn't have word 'message'</t>
  </si>
  <si>
    <t>added 'message' to box</t>
  </si>
  <si>
    <t>PQ6</t>
  </si>
  <si>
    <t>can't select from drop down</t>
  </si>
  <si>
    <t>Y6</t>
  </si>
  <si>
    <t xml:space="preserve">no message by drop down </t>
  </si>
  <si>
    <t>V13</t>
  </si>
  <si>
    <t>V25</t>
  </si>
  <si>
    <t>V31</t>
  </si>
  <si>
    <t>V37</t>
  </si>
  <si>
    <t>V43</t>
  </si>
  <si>
    <t>V49</t>
  </si>
  <si>
    <t>added drop down message</t>
  </si>
  <si>
    <t>added drop down message; moved message box up a few rows</t>
  </si>
  <si>
    <t>V19</t>
  </si>
  <si>
    <t>CR2 name</t>
  </si>
  <si>
    <t>D31</t>
  </si>
  <si>
    <t>D37</t>
  </si>
  <si>
    <t>custom role field inconsistent (blank) than other worksheet</t>
  </si>
  <si>
    <t>added cr1 name</t>
  </si>
  <si>
    <t>added cr2 name</t>
  </si>
  <si>
    <t>X13</t>
  </si>
  <si>
    <t>X14</t>
  </si>
  <si>
    <t>X15</t>
  </si>
  <si>
    <t>X16</t>
  </si>
  <si>
    <t>X17</t>
  </si>
  <si>
    <t>X18</t>
  </si>
  <si>
    <t>X24</t>
  </si>
  <si>
    <t>X25</t>
  </si>
  <si>
    <t>X26</t>
  </si>
  <si>
    <t>X27</t>
  </si>
  <si>
    <t>X20</t>
  </si>
  <si>
    <t>X30</t>
  </si>
  <si>
    <t>X37</t>
  </si>
  <si>
    <t>X47</t>
  </si>
  <si>
    <t>X54</t>
  </si>
  <si>
    <t>X64</t>
  </si>
  <si>
    <t>X72</t>
  </si>
  <si>
    <t>DE29</t>
  </si>
  <si>
    <t>"worksheet." was not showing</t>
  </si>
  <si>
    <t>widened column to show</t>
  </si>
  <si>
    <t>V20</t>
  </si>
  <si>
    <t>V29</t>
  </si>
  <si>
    <t>V36</t>
  </si>
  <si>
    <t>V45</t>
  </si>
  <si>
    <t>V52</t>
  </si>
  <si>
    <t>V15</t>
  </si>
  <si>
    <t>V22</t>
  </si>
  <si>
    <t>V38</t>
  </si>
  <si>
    <t>V47</t>
  </si>
  <si>
    <t>V54</t>
  </si>
  <si>
    <t>Staff2</t>
  </si>
  <si>
    <t>Maggie</t>
  </si>
  <si>
    <t>unlocked cell, protected sheet</t>
  </si>
  <si>
    <t>The work described on this worksheet is part of the person's position description or work agreement.</t>
  </si>
  <si>
    <t>V16</t>
  </si>
  <si>
    <t>V63</t>
  </si>
  <si>
    <t>V70</t>
  </si>
  <si>
    <t>V23</t>
  </si>
  <si>
    <t>V32</t>
  </si>
  <si>
    <t>V39</t>
  </si>
  <si>
    <t>V48</t>
  </si>
  <si>
    <t>V55</t>
  </si>
  <si>
    <t>V79</t>
  </si>
  <si>
    <t>V86</t>
  </si>
  <si>
    <t>V95</t>
  </si>
  <si>
    <t>V102</t>
  </si>
  <si>
    <t>S13</t>
  </si>
  <si>
    <t>S20</t>
  </si>
  <si>
    <t>S29</t>
  </si>
  <si>
    <t>S36</t>
  </si>
  <si>
    <t>S45</t>
  </si>
  <si>
    <t>S52</t>
  </si>
  <si>
    <t>S61</t>
  </si>
  <si>
    <t>S68</t>
  </si>
  <si>
    <t>X2</t>
  </si>
  <si>
    <t>message box too far to right</t>
  </si>
  <si>
    <t>moved to W2</t>
  </si>
  <si>
    <t>D9</t>
  </si>
  <si>
    <t>changed to described</t>
  </si>
  <si>
    <t>incorrect tense of the word "describe"</t>
  </si>
  <si>
    <t>D7</t>
  </si>
  <si>
    <t>pop up message for enter name for message box</t>
  </si>
  <si>
    <t>deleted pop up message</t>
  </si>
  <si>
    <t>W2</t>
  </si>
  <si>
    <t>moved to V2</t>
  </si>
  <si>
    <t>Please describe what you know now about Intergovernmental capacity.</t>
  </si>
  <si>
    <t>D8</t>
  </si>
  <si>
    <t>had "financial services" capacity</t>
  </si>
  <si>
    <t>changed to Intergovernmental</t>
  </si>
  <si>
    <t>D10</t>
  </si>
  <si>
    <t>Please describe what you know now about LEAD capacity.</t>
  </si>
  <si>
    <t>D48</t>
  </si>
  <si>
    <t>added ENTER NAME pop up message</t>
  </si>
  <si>
    <t>ENTER NAME pop up message didn't happen</t>
  </si>
  <si>
    <t>D55</t>
  </si>
  <si>
    <t>D39</t>
  </si>
  <si>
    <t>ENTER NAME pop up message indicated developing not implementing</t>
  </si>
  <si>
    <t>changed "developing" to "implementing"</t>
  </si>
  <si>
    <t>Please describe what you know now about OCE capacity.</t>
  </si>
  <si>
    <t>changed to OCE</t>
  </si>
  <si>
    <t>pop up message for enter name in wrong cell</t>
  </si>
  <si>
    <t>Please describe what you know now about Technical Services capacity.</t>
  </si>
  <si>
    <t>changed to Technical Services</t>
  </si>
  <si>
    <t>D13</t>
  </si>
  <si>
    <t>inserted pop up message</t>
  </si>
  <si>
    <t>D20</t>
  </si>
  <si>
    <t>DESCRIBE INVOLVEMENT pop up message didn't happen</t>
  </si>
  <si>
    <t>Please describe what you know now about Organizational Services capacity.</t>
  </si>
  <si>
    <t>changed to Organization Services</t>
  </si>
  <si>
    <t>Please describe what you know now about OCO capacity.</t>
  </si>
  <si>
    <t>changed to OCO</t>
  </si>
  <si>
    <t>pop up message missing</t>
  </si>
  <si>
    <t>added "expressed interest" pop up message</t>
  </si>
  <si>
    <t>D14</t>
  </si>
  <si>
    <t>D15</t>
  </si>
  <si>
    <t>D16</t>
  </si>
  <si>
    <t>D17</t>
  </si>
  <si>
    <t>D18</t>
  </si>
  <si>
    <t>D24</t>
  </si>
  <si>
    <t>pop up message stated for "developing" project</t>
  </si>
  <si>
    <t>changed message to "expressed interest"</t>
  </si>
  <si>
    <t>D25</t>
  </si>
  <si>
    <t>D26</t>
  </si>
  <si>
    <t>D27</t>
  </si>
  <si>
    <t>D35</t>
  </si>
  <si>
    <t>predefine role had pop up message to enter role</t>
  </si>
  <si>
    <t>D41</t>
  </si>
  <si>
    <t>pop up message missing for enter role</t>
  </si>
  <si>
    <t>added "enter role" pop up</t>
  </si>
  <si>
    <t>D49</t>
  </si>
  <si>
    <t>pop up message missing for enter name</t>
  </si>
  <si>
    <t>added "enter name" pop up</t>
  </si>
  <si>
    <t>no pop up message for optional discussion</t>
  </si>
  <si>
    <t>added "TOPIC IDEAS" pop up message</t>
  </si>
  <si>
    <r>
      <rPr>
        <sz val="12"/>
        <color theme="4" tint="-0.499984740745262"/>
        <rFont val="Wingdings"/>
        <charset val="2"/>
      </rPr>
      <t>ï</t>
    </r>
    <r>
      <rPr>
        <sz val="12"/>
        <color theme="4" tint="-0.499984740745262"/>
        <rFont val="Cambria"/>
        <family val="1"/>
        <scheme val="minor"/>
      </rPr>
      <t xml:space="preserve"> drop down to select </t>
    </r>
    <r>
      <rPr>
        <b/>
        <sz val="12"/>
        <color rgb="FFC00000"/>
        <rFont val="Cambria"/>
        <family val="1"/>
        <scheme val="minor"/>
      </rPr>
      <t>Division</t>
    </r>
  </si>
  <si>
    <t>couldn't enter custom role D39</t>
  </si>
  <si>
    <t>STAFF (CORE TEAM)</t>
  </si>
  <si>
    <t>MANAGER (CORE TEAM)</t>
  </si>
  <si>
    <r>
      <rPr>
        <sz val="12"/>
        <color theme="4" tint="-0.499984740745262"/>
        <rFont val="Wingdings"/>
        <charset val="2"/>
      </rPr>
      <t>ï</t>
    </r>
    <r>
      <rPr>
        <sz val="12"/>
        <color theme="4" tint="-0.499984740745262"/>
        <rFont val="Cambria"/>
        <family val="1"/>
        <scheme val="minor"/>
      </rPr>
      <t xml:space="preserve"> drop down to </t>
    </r>
    <r>
      <rPr>
        <b/>
        <sz val="12"/>
        <color rgb="FFC00000"/>
        <rFont val="Cambria"/>
        <family val="1"/>
        <scheme val="minor"/>
      </rPr>
      <t>Select hours/Level involved</t>
    </r>
  </si>
  <si>
    <t>F2</t>
  </si>
  <si>
    <t>long name requested</t>
  </si>
  <si>
    <t>changed to medium name</t>
  </si>
  <si>
    <t>E2</t>
  </si>
  <si>
    <t>G4</t>
  </si>
  <si>
    <t>no message for long name</t>
  </si>
  <si>
    <t>entered pop up message w/ instructions</t>
  </si>
  <si>
    <t>G15</t>
  </si>
  <si>
    <t>format pop up message confusing</t>
  </si>
  <si>
    <t>A9</t>
  </si>
  <si>
    <t>A14</t>
  </si>
  <si>
    <t>link to Q-net not applicable</t>
  </si>
  <si>
    <t>deleted hyperlink</t>
  </si>
  <si>
    <t>P13</t>
  </si>
  <si>
    <t>no option to select staff (core team), etc.</t>
  </si>
  <si>
    <t>added Staff (Core Team) &amp; Manager (Core Team) to DDL</t>
  </si>
  <si>
    <t>no pop up message for interest</t>
  </si>
  <si>
    <t>created "enter interest" pop up message</t>
  </si>
  <si>
    <t>P14</t>
  </si>
  <si>
    <t>P15</t>
  </si>
  <si>
    <t>P16</t>
  </si>
  <si>
    <t>P17</t>
  </si>
  <si>
    <t>P18</t>
  </si>
  <si>
    <t>P24</t>
  </si>
  <si>
    <t>P25</t>
  </si>
  <si>
    <t>P26</t>
  </si>
  <si>
    <t>P27</t>
  </si>
  <si>
    <t>Q16</t>
  </si>
  <si>
    <t>total resources not calculating correctly</t>
  </si>
  <si>
    <t>Corrected calculation and moved it offsheet to U.16 for additional protection.</t>
  </si>
  <si>
    <t>Input message in 11 H-Q</t>
  </si>
  <si>
    <t>Cleared data validation in cells</t>
  </si>
  <si>
    <r>
      <rPr>
        <sz val="12"/>
        <color theme="4" tint="-0.499984740745262"/>
        <rFont val="Wingdings"/>
        <charset val="2"/>
      </rPr>
      <t>ï</t>
    </r>
    <r>
      <rPr>
        <sz val="12"/>
        <color theme="4" tint="-0.499984740745262"/>
        <rFont val="Cambria"/>
        <family val="1"/>
        <scheme val="minor"/>
      </rPr>
      <t xml:space="preserve"> drop down to </t>
    </r>
    <r>
      <rPr>
        <b/>
        <sz val="12"/>
        <color rgb="FFC00000"/>
        <rFont val="Cambria"/>
        <family val="1"/>
        <scheme val="minor"/>
      </rPr>
      <t>Select hours</t>
    </r>
  </si>
  <si>
    <t>drop down message had "box"</t>
  </si>
  <si>
    <t>deleted box</t>
  </si>
  <si>
    <t>Deleted box</t>
  </si>
  <si>
    <t>deleted box. THIS VERSION IS RELEASED FOR ALL 2013 RMs</t>
  </si>
  <si>
    <t xml:space="preserve">Hours and staff count on this workbook are subtracted from DEQ hours and staff count on the Summary. </t>
  </si>
  <si>
    <t>Christine Svetkovich</t>
  </si>
  <si>
    <t>Division 12 Updates</t>
  </si>
  <si>
    <t>Division 12 updates</t>
  </si>
  <si>
    <t>Div12</t>
  </si>
  <si>
    <t>CP</t>
  </si>
  <si>
    <t>Jenny Rott's bookcase</t>
  </si>
  <si>
    <t>Jenny Root</t>
  </si>
  <si>
    <t>Leah Koss</t>
  </si>
  <si>
    <t>Debra Nesbit</t>
  </si>
  <si>
    <t>Subject Expert 2</t>
  </si>
  <si>
    <t>Les Carlough</t>
  </si>
  <si>
    <t>Linda Hayes-Gorman</t>
  </si>
  <si>
    <t>Keith Andersen</t>
  </si>
  <si>
    <t>Nina Deconcini</t>
  </si>
  <si>
    <t>database work</t>
  </si>
  <si>
    <t>Various OCE staff</t>
  </si>
  <si>
    <t>Jeff Bachman, Esther Westbrook, Sarah Wheeler, Courney Brown, Susan Elworth, Bryan Smith</t>
  </si>
</sst>
</file>

<file path=xl/styles.xml><?xml version="1.0" encoding="utf-8"?>
<styleSheet xmlns="http://schemas.openxmlformats.org/spreadsheetml/2006/main">
  <numFmts count="9">
    <numFmt numFmtId="44" formatCode="_(&quot;$&quot;* #,##0.00_);_(&quot;$&quot;* \(#,##0.00\);_(&quot;$&quot;* &quot;-&quot;??_);_(@_)"/>
    <numFmt numFmtId="43" formatCode="_(* #,##0.00_);_(* \(#,##0.00\);_(* &quot;-&quot;??_);_(@_)"/>
    <numFmt numFmtId="164" formatCode="[$-409]mmmm\ d\,\ yyyy;@"/>
    <numFmt numFmtId="165" formatCode="[$-F800]dddd\,\ mmmm\ dd\,\ yyyy"/>
    <numFmt numFmtId="166" formatCode="&quot;$&quot;#,##0"/>
    <numFmt numFmtId="167" formatCode="_(* #,##0_);_(* \(#,##0\);_(* &quot;-&quot;??_);_(@_)"/>
    <numFmt numFmtId="168" formatCode="0_);[Red]\(0\)"/>
    <numFmt numFmtId="169" formatCode="0.0"/>
    <numFmt numFmtId="170" formatCode="m/d/yy;@"/>
  </numFmts>
  <fonts count="122">
    <font>
      <sz val="11"/>
      <color theme="1"/>
      <name val="Cambria"/>
      <family val="2"/>
      <scheme val="minor"/>
    </font>
    <font>
      <sz val="11"/>
      <color theme="4" tint="-0.249977111117893"/>
      <name val="Cambria"/>
      <family val="2"/>
      <scheme val="minor"/>
    </font>
    <font>
      <u/>
      <sz val="11"/>
      <color theme="10"/>
      <name val="Calibri"/>
      <family val="2"/>
    </font>
    <font>
      <sz val="11"/>
      <color theme="4" tint="-0.499984740745262"/>
      <name val="Cambria"/>
      <family val="1"/>
      <scheme val="minor"/>
    </font>
    <font>
      <sz val="11"/>
      <color theme="1"/>
      <name val="Cambria"/>
      <family val="1"/>
      <scheme val="minor"/>
    </font>
    <font>
      <sz val="11"/>
      <color theme="1"/>
      <name val="Cambria"/>
      <family val="2"/>
      <scheme val="minor"/>
    </font>
    <font>
      <b/>
      <sz val="12"/>
      <color theme="4" tint="-0.499984740745262"/>
      <name val="Times New Roman"/>
      <family val="1"/>
    </font>
    <font>
      <b/>
      <sz val="16"/>
      <color theme="4" tint="-0.499984740745262"/>
      <name val="Times New Roman"/>
      <family val="1"/>
    </font>
    <font>
      <b/>
      <sz val="11"/>
      <color theme="8" tint="-0.499984740745262"/>
      <name val="Cambria"/>
      <family val="1"/>
      <scheme val="minor"/>
    </font>
    <font>
      <sz val="9"/>
      <color theme="1"/>
      <name val="Cambria"/>
      <family val="2"/>
      <scheme val="minor"/>
    </font>
    <font>
      <sz val="8"/>
      <color indexed="81"/>
      <name val="Tahoma"/>
      <family val="2"/>
    </font>
    <font>
      <b/>
      <sz val="8"/>
      <color indexed="81"/>
      <name val="Tahoma"/>
      <family val="2"/>
    </font>
    <font>
      <b/>
      <u/>
      <sz val="8"/>
      <color indexed="81"/>
      <name val="Tahoma"/>
      <family val="2"/>
    </font>
    <font>
      <sz val="12"/>
      <color theme="1"/>
      <name val="Tahoma"/>
      <family val="2"/>
    </font>
    <font>
      <sz val="11"/>
      <color theme="1"/>
      <name val="Tahoma"/>
      <family val="2"/>
    </font>
    <font>
      <sz val="12"/>
      <color rgb="FF32525C"/>
      <name val="Tahoma"/>
      <family val="2"/>
    </font>
    <font>
      <sz val="11"/>
      <color rgb="FF32525C"/>
      <name val="Tahoma"/>
      <family val="2"/>
    </font>
    <font>
      <b/>
      <sz val="12"/>
      <color theme="8" tint="-0.499984740745262"/>
      <name val="Calibri"/>
      <family val="2"/>
      <scheme val="major"/>
    </font>
    <font>
      <sz val="10"/>
      <color theme="1"/>
      <name val="Cambria"/>
      <family val="1"/>
      <scheme val="minor"/>
    </font>
    <font>
      <sz val="10"/>
      <color theme="8" tint="-0.499984740745262"/>
      <name val="Cambria"/>
      <family val="1"/>
      <scheme val="minor"/>
    </font>
    <font>
      <b/>
      <sz val="16"/>
      <color theme="4" tint="-0.499984740745262"/>
      <name val="Cambria"/>
      <family val="1"/>
      <scheme val="minor"/>
    </font>
    <font>
      <sz val="10"/>
      <color theme="4" tint="-0.499984740745262"/>
      <name val="Cambria"/>
      <family val="1"/>
      <scheme val="minor"/>
    </font>
    <font>
      <sz val="12"/>
      <color theme="1"/>
      <name val="Cambria"/>
      <family val="1"/>
      <scheme val="minor"/>
    </font>
    <font>
      <sz val="8"/>
      <color theme="1"/>
      <name val="Cambria"/>
      <family val="1"/>
      <scheme val="minor"/>
    </font>
    <font>
      <b/>
      <sz val="10"/>
      <color theme="8" tint="-0.499984740745262"/>
      <name val="Cambria"/>
      <family val="1"/>
      <scheme val="minor"/>
    </font>
    <font>
      <b/>
      <sz val="11"/>
      <color theme="1"/>
      <name val="Cambria"/>
      <family val="1"/>
      <scheme val="minor"/>
    </font>
    <font>
      <b/>
      <sz val="10"/>
      <color theme="4" tint="-0.499984740745262"/>
      <name val="Cambria"/>
      <family val="1"/>
      <scheme val="minor"/>
    </font>
    <font>
      <sz val="8"/>
      <color rgb="FF32525C"/>
      <name val="Cambria"/>
      <family val="1"/>
      <scheme val="minor"/>
    </font>
    <font>
      <b/>
      <sz val="12"/>
      <color theme="4" tint="-0.499984740745262"/>
      <name val="Cambria"/>
      <family val="1"/>
      <scheme val="minor"/>
    </font>
    <font>
      <b/>
      <sz val="12"/>
      <color theme="1"/>
      <name val="Cambria"/>
      <family val="1"/>
      <scheme val="minor"/>
    </font>
    <font>
      <sz val="10"/>
      <color theme="1"/>
      <name val="Cambria"/>
      <family val="2"/>
      <scheme val="minor"/>
    </font>
    <font>
      <sz val="11"/>
      <color theme="8" tint="-0.499984740745262"/>
      <name val="Cambria"/>
      <family val="1"/>
      <scheme val="minor"/>
    </font>
    <font>
      <u/>
      <sz val="11"/>
      <color theme="10"/>
      <name val="Cambria"/>
      <family val="2"/>
    </font>
    <font>
      <b/>
      <sz val="12"/>
      <color theme="0"/>
      <name val="Cambria"/>
      <family val="1"/>
      <scheme val="minor"/>
    </font>
    <font>
      <sz val="12"/>
      <color theme="0"/>
      <name val="Cambria"/>
      <family val="1"/>
      <scheme val="minor"/>
    </font>
    <font>
      <b/>
      <sz val="18"/>
      <color theme="1"/>
      <name val="Cambria"/>
      <family val="1"/>
      <scheme val="minor"/>
    </font>
    <font>
      <b/>
      <i/>
      <sz val="18"/>
      <color theme="1"/>
      <name val="Cambria"/>
      <family val="1"/>
      <scheme val="minor"/>
    </font>
    <font>
      <sz val="12"/>
      <color theme="4" tint="-0.499984740745262"/>
      <name val="Cambria"/>
      <family val="1"/>
      <scheme val="minor"/>
    </font>
    <font>
      <sz val="12"/>
      <name val="Cambria"/>
      <family val="1"/>
      <scheme val="minor"/>
    </font>
    <font>
      <i/>
      <sz val="12"/>
      <name val="Cambria"/>
      <family val="1"/>
      <scheme val="minor"/>
    </font>
    <font>
      <sz val="9"/>
      <color theme="8" tint="-0.249977111117893"/>
      <name val="Cambria"/>
      <family val="1"/>
      <scheme val="minor"/>
    </font>
    <font>
      <b/>
      <i/>
      <sz val="16"/>
      <color theme="4" tint="-0.499984740745262"/>
      <name val="Cambria"/>
      <family val="1"/>
      <scheme val="minor"/>
    </font>
    <font>
      <b/>
      <sz val="18"/>
      <color theme="4" tint="-0.499984740745262"/>
      <name val="Cambria"/>
      <family val="1"/>
      <scheme val="minor"/>
    </font>
    <font>
      <sz val="14"/>
      <color rgb="FF215868"/>
      <name val="Cambria"/>
      <family val="1"/>
      <scheme val="minor"/>
    </font>
    <font>
      <b/>
      <sz val="16"/>
      <color rgb="FFCC6600"/>
      <name val="Cambria"/>
      <family val="1"/>
      <scheme val="minor"/>
    </font>
    <font>
      <b/>
      <sz val="16"/>
      <color theme="8" tint="-0.499984740745262"/>
      <name val="Cambria"/>
      <family val="1"/>
      <scheme val="minor"/>
    </font>
    <font>
      <b/>
      <sz val="12"/>
      <color theme="8" tint="-0.499984740745262"/>
      <name val="Cambria"/>
      <family val="1"/>
      <scheme val="minor"/>
    </font>
    <font>
      <sz val="12"/>
      <color theme="8" tint="-0.499984740745262"/>
      <name val="Cambria"/>
      <family val="1"/>
      <scheme val="minor"/>
    </font>
    <font>
      <sz val="14"/>
      <color theme="4" tint="-0.499984740745262"/>
      <name val="Cambria"/>
      <family val="1"/>
      <scheme val="minor"/>
    </font>
    <font>
      <sz val="10"/>
      <color rgb="FF00CC00"/>
      <name val="Cambria"/>
      <family val="1"/>
      <scheme val="minor"/>
    </font>
    <font>
      <sz val="10"/>
      <color rgb="FF33CC33"/>
      <name val="Cambria"/>
      <family val="1"/>
      <scheme val="minor"/>
    </font>
    <font>
      <sz val="10"/>
      <color rgb="FF66FF33"/>
      <name val="Cambria"/>
      <family val="1"/>
      <scheme val="minor"/>
    </font>
    <font>
      <sz val="10"/>
      <color theme="0" tint="-0.14999847407452621"/>
      <name val="Cambria"/>
      <family val="1"/>
      <scheme val="minor"/>
    </font>
    <font>
      <sz val="10"/>
      <color rgb="FFFFFF00"/>
      <name val="Cambria"/>
      <family val="1"/>
      <scheme val="minor"/>
    </font>
    <font>
      <sz val="10"/>
      <color rgb="FFFFCC00"/>
      <name val="Cambria"/>
      <family val="1"/>
      <scheme val="minor"/>
    </font>
    <font>
      <sz val="10"/>
      <color rgb="FFFF9933"/>
      <name val="Cambria"/>
      <family val="1"/>
      <scheme val="minor"/>
    </font>
    <font>
      <sz val="10"/>
      <color rgb="FFFF6600"/>
      <name val="Cambria"/>
      <family val="1"/>
      <scheme val="minor"/>
    </font>
    <font>
      <sz val="10"/>
      <color rgb="FFFF3300"/>
      <name val="Cambria"/>
      <family val="1"/>
      <scheme val="minor"/>
    </font>
    <font>
      <sz val="10"/>
      <color rgb="FFFF0000"/>
      <name val="Cambria"/>
      <family val="1"/>
      <scheme val="minor"/>
    </font>
    <font>
      <b/>
      <sz val="14"/>
      <color theme="8" tint="-0.499984740745262"/>
      <name val="Cambria"/>
      <family val="1"/>
      <scheme val="minor"/>
    </font>
    <font>
      <sz val="10"/>
      <color theme="4" tint="-0.249977111117893"/>
      <name val="Calibri"/>
      <family val="2"/>
      <scheme val="major"/>
    </font>
    <font>
      <b/>
      <sz val="16"/>
      <color theme="1"/>
      <name val="Times New Roman"/>
      <family val="1"/>
    </font>
    <font>
      <b/>
      <sz val="16"/>
      <color theme="9" tint="-0.499984740745262"/>
      <name val="Times New Roman"/>
      <family val="1"/>
    </font>
    <font>
      <b/>
      <sz val="16"/>
      <color rgb="FF32525C"/>
      <name val="Times New Roman"/>
      <family val="1"/>
    </font>
    <font>
      <sz val="11"/>
      <color theme="8" tint="-0.499984740745262"/>
      <name val="Times New Roman"/>
      <family val="1"/>
    </font>
    <font>
      <sz val="10"/>
      <color theme="8" tint="-0.499984740745262"/>
      <name val="Times New Roman"/>
      <family val="1"/>
    </font>
    <font>
      <sz val="12"/>
      <color theme="1"/>
      <name val="Cambria"/>
      <family val="2"/>
      <scheme val="minor"/>
    </font>
    <font>
      <sz val="8"/>
      <color rgb="FF000000"/>
      <name val="Tahoma"/>
      <family val="2"/>
    </font>
    <font>
      <i/>
      <sz val="11"/>
      <color theme="1"/>
      <name val="Cambria"/>
      <family val="1"/>
      <scheme val="minor"/>
    </font>
    <font>
      <sz val="8"/>
      <color rgb="FFC00000"/>
      <name val="Cambria"/>
      <family val="1"/>
      <scheme val="minor"/>
    </font>
    <font>
      <b/>
      <sz val="11"/>
      <color theme="4" tint="-0.499984740745262"/>
      <name val="Cambria"/>
      <family val="1"/>
      <scheme val="minor"/>
    </font>
    <font>
      <b/>
      <sz val="12"/>
      <color theme="1"/>
      <name val="Times New Roman"/>
      <family val="1"/>
    </font>
    <font>
      <sz val="11"/>
      <color theme="4" tint="-0.499984740745262"/>
      <name val="Cambria"/>
      <family val="2"/>
      <scheme val="minor"/>
    </font>
    <font>
      <sz val="12"/>
      <color theme="4" tint="-0.499984740745262"/>
      <name val="Cambria"/>
      <family val="2"/>
      <scheme val="minor"/>
    </font>
    <font>
      <b/>
      <sz val="11"/>
      <color theme="1"/>
      <name val="Times New Roman"/>
      <family val="1"/>
    </font>
    <font>
      <b/>
      <sz val="14"/>
      <color theme="1"/>
      <name val="Times New Roman"/>
      <family val="1"/>
    </font>
    <font>
      <b/>
      <sz val="11"/>
      <color theme="4" tint="-0.499984740745262"/>
      <name val="Times New Roman"/>
      <family val="1"/>
    </font>
    <font>
      <sz val="11"/>
      <color theme="4" tint="-0.499984740745262"/>
      <name val="Times New Roman"/>
      <family val="1"/>
    </font>
    <font>
      <sz val="14"/>
      <color theme="1"/>
      <name val="Cambria"/>
      <family val="1"/>
      <scheme val="minor"/>
    </font>
    <font>
      <sz val="14"/>
      <color theme="1"/>
      <name val="Cambria"/>
      <family val="2"/>
      <scheme val="minor"/>
    </font>
    <font>
      <i/>
      <sz val="14"/>
      <color theme="1"/>
      <name val="Cambria"/>
      <family val="1"/>
      <scheme val="minor"/>
    </font>
    <font>
      <sz val="11"/>
      <color rgb="FF00CC00"/>
      <name val="Cambria"/>
      <family val="1"/>
      <scheme val="minor"/>
    </font>
    <font>
      <sz val="11"/>
      <color rgb="FF33CC33"/>
      <name val="Cambria"/>
      <family val="1"/>
      <scheme val="minor"/>
    </font>
    <font>
      <sz val="11"/>
      <color rgb="FF66FF33"/>
      <name val="Cambria"/>
      <family val="1"/>
      <scheme val="minor"/>
    </font>
    <font>
      <sz val="11"/>
      <color theme="0" tint="-0.14999847407452621"/>
      <name val="Cambria"/>
      <family val="1"/>
      <scheme val="minor"/>
    </font>
    <font>
      <sz val="11"/>
      <color rgb="FFFFFF00"/>
      <name val="Cambria"/>
      <family val="1"/>
      <scheme val="minor"/>
    </font>
    <font>
      <sz val="11"/>
      <color rgb="FFFFCC00"/>
      <name val="Cambria"/>
      <family val="1"/>
      <scheme val="minor"/>
    </font>
    <font>
      <sz val="11"/>
      <color rgb="FFFF9933"/>
      <name val="Cambria"/>
      <family val="1"/>
      <scheme val="minor"/>
    </font>
    <font>
      <sz val="11"/>
      <color rgb="FFFF6600"/>
      <name val="Cambria"/>
      <family val="1"/>
      <scheme val="minor"/>
    </font>
    <font>
      <sz val="11"/>
      <color rgb="FFFF3300"/>
      <name val="Cambria"/>
      <family val="1"/>
      <scheme val="minor"/>
    </font>
    <font>
      <sz val="11"/>
      <color rgb="FFFF0000"/>
      <name val="Cambria"/>
      <family val="1"/>
      <scheme val="minor"/>
    </font>
    <font>
      <b/>
      <i/>
      <sz val="11"/>
      <color theme="4" tint="-0.499984740745262"/>
      <name val="Cambria"/>
      <family val="1"/>
      <scheme val="minor"/>
    </font>
    <font>
      <sz val="10"/>
      <color rgb="FFFF0000"/>
      <name val="Tahoma"/>
      <family val="2"/>
    </font>
    <font>
      <b/>
      <sz val="11"/>
      <color theme="4" tint="-0.499984740745262"/>
      <name val="Cambria"/>
      <family val="2"/>
      <scheme val="minor"/>
    </font>
    <font>
      <sz val="12"/>
      <color theme="4" tint="-0.499984740745262"/>
      <name val="Calibri"/>
      <family val="2"/>
    </font>
    <font>
      <b/>
      <u/>
      <sz val="14"/>
      <color theme="8" tint="-0.499984740745262"/>
      <name val="Cambria"/>
      <family val="1"/>
    </font>
    <font>
      <sz val="11"/>
      <color rgb="FF1F497D"/>
      <name val="Calibri"/>
      <family val="2"/>
    </font>
    <font>
      <sz val="11"/>
      <color rgb="FF1F497D"/>
      <name val="Cambria Math"/>
      <family val="1"/>
    </font>
    <font>
      <u/>
      <sz val="8"/>
      <color theme="3" tint="0.59999389629810485"/>
      <name val="Cambria"/>
      <family val="1"/>
      <scheme val="minor"/>
    </font>
    <font>
      <b/>
      <sz val="14"/>
      <color theme="8" tint="-0.499984740745262"/>
      <name val="Cambria"/>
      <family val="1"/>
    </font>
    <font>
      <u/>
      <sz val="10"/>
      <color rgb="FF00B050"/>
      <name val="Cambria"/>
      <family val="1"/>
      <scheme val="minor"/>
    </font>
    <font>
      <sz val="10"/>
      <color rgb="FF00B050"/>
      <name val="Cambria"/>
      <family val="1"/>
      <scheme val="minor"/>
    </font>
    <font>
      <sz val="11"/>
      <color theme="9" tint="-0.499984740745262"/>
      <name val="Cambria"/>
      <family val="1"/>
      <scheme val="minor"/>
    </font>
    <font>
      <u/>
      <sz val="10"/>
      <color theme="7" tint="-0.249977111117893"/>
      <name val="Cambria"/>
      <family val="1"/>
      <scheme val="minor"/>
    </font>
    <font>
      <sz val="10"/>
      <color theme="7" tint="-0.249977111117893"/>
      <name val="Cambria"/>
      <family val="1"/>
      <scheme val="minor"/>
    </font>
    <font>
      <b/>
      <i/>
      <sz val="10"/>
      <color theme="7" tint="-0.249977111117893"/>
      <name val="Tahoma"/>
      <family val="2"/>
    </font>
    <font>
      <sz val="10"/>
      <color theme="7" tint="-0.249977111117893"/>
      <name val="Cambria"/>
      <family val="2"/>
      <scheme val="minor"/>
    </font>
    <font>
      <sz val="10"/>
      <name val="Cambria"/>
      <family val="1"/>
      <scheme val="minor"/>
    </font>
    <font>
      <sz val="8"/>
      <color theme="1"/>
      <name val="Cambria"/>
      <family val="2"/>
      <scheme val="minor"/>
    </font>
    <font>
      <b/>
      <sz val="10"/>
      <color theme="1"/>
      <name val="Cambria"/>
      <family val="1"/>
      <scheme val="minor"/>
    </font>
    <font>
      <b/>
      <u/>
      <sz val="10"/>
      <color theme="1"/>
      <name val="Cambria"/>
      <family val="1"/>
      <scheme val="minor"/>
    </font>
    <font>
      <sz val="10"/>
      <color rgb="FF333333"/>
      <name val="Verdana"/>
      <family val="2"/>
    </font>
    <font>
      <b/>
      <sz val="20"/>
      <color rgb="FF0E7A56"/>
      <name val="Cambria"/>
      <family val="1"/>
      <scheme val="minor"/>
    </font>
    <font>
      <sz val="9"/>
      <color theme="1"/>
      <name val="Times New Roman"/>
      <family val="1"/>
    </font>
    <font>
      <i/>
      <sz val="9"/>
      <color theme="1"/>
      <name val="Cambria"/>
      <family val="1"/>
      <scheme val="minor"/>
    </font>
    <font>
      <sz val="10"/>
      <color theme="0"/>
      <name val="Cambria"/>
      <family val="1"/>
      <scheme val="minor"/>
    </font>
    <font>
      <b/>
      <sz val="10"/>
      <name val="Cambria"/>
      <family val="1"/>
      <scheme val="minor"/>
    </font>
    <font>
      <b/>
      <sz val="10"/>
      <color theme="5" tint="0.59999389629810485"/>
      <name val="Cambria"/>
      <family val="1"/>
      <scheme val="minor"/>
    </font>
    <font>
      <sz val="10"/>
      <color theme="2" tint="-0.89999084444715716"/>
      <name val="Cambria"/>
      <family val="1"/>
      <scheme val="minor"/>
    </font>
    <font>
      <sz val="16"/>
      <color theme="1"/>
      <name val="Cambria"/>
      <family val="2"/>
      <scheme val="minor"/>
    </font>
    <font>
      <sz val="12"/>
      <color theme="4" tint="-0.499984740745262"/>
      <name val="Wingdings"/>
      <charset val="2"/>
    </font>
    <font>
      <b/>
      <sz val="12"/>
      <color rgb="FFC00000"/>
      <name val="Cambria"/>
      <family val="1"/>
      <scheme val="minor"/>
    </font>
  </fonts>
  <fills count="26">
    <fill>
      <patternFill patternType="none"/>
    </fill>
    <fill>
      <patternFill patternType="gray125"/>
    </fill>
    <fill>
      <patternFill patternType="solid">
        <fgColor theme="0"/>
        <bgColor indexed="64"/>
      </patternFill>
    </fill>
    <fill>
      <patternFill patternType="solid">
        <fgColor theme="4" tint="0.79998168889431442"/>
        <bgColor theme="0"/>
      </patternFill>
    </fill>
    <fill>
      <patternFill patternType="solid">
        <fgColor theme="0"/>
        <bgColor rgb="FF000000"/>
      </patternFill>
    </fill>
    <fill>
      <patternFill patternType="solid">
        <fgColor theme="0" tint="-0.14999847407452621"/>
        <bgColor indexed="64"/>
      </patternFill>
    </fill>
    <fill>
      <patternFill patternType="solid">
        <fgColor theme="4" tint="-0.249977111117893"/>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8" tint="0.59999389629810485"/>
        <bgColor indexed="64"/>
      </patternFill>
    </fill>
    <fill>
      <patternFill patternType="solid">
        <fgColor rgb="FFFFC000"/>
        <bgColor indexed="64"/>
      </patternFill>
    </fill>
    <fill>
      <gradientFill degree="270">
        <stop position="0">
          <color theme="4" tint="0.59999389629810485"/>
        </stop>
        <stop position="1">
          <color theme="4" tint="0.40000610370189521"/>
        </stop>
      </gradientFill>
    </fill>
    <fill>
      <gradientFill degree="270">
        <stop position="0">
          <color theme="8" tint="0.59999389629810485"/>
        </stop>
        <stop position="1">
          <color theme="8" tint="0.40000610370189521"/>
        </stop>
      </gradientFill>
    </fill>
    <fill>
      <patternFill patternType="solid">
        <fgColor theme="4" tint="0.39997558519241921"/>
        <bgColor rgb="FFE8E7ED"/>
      </patternFill>
    </fill>
    <fill>
      <gradientFill>
        <stop position="0">
          <color rgb="FF00B050"/>
        </stop>
        <stop position="1">
          <color rgb="FFFFFF00"/>
        </stop>
      </gradientFill>
    </fill>
    <fill>
      <patternFill patternType="solid">
        <fgColor theme="0"/>
        <bgColor auto="1"/>
      </patternFill>
    </fill>
    <fill>
      <gradientFill>
        <stop position="0">
          <color rgb="FFFFFF00"/>
        </stop>
        <stop position="1">
          <color rgb="FFFA7406"/>
        </stop>
      </gradientFill>
    </fill>
    <fill>
      <gradientFill>
        <stop position="0">
          <color rgb="FFFA7406"/>
        </stop>
        <stop position="1">
          <color rgb="FFC00000"/>
        </stop>
      </gradientFill>
    </fill>
    <fill>
      <patternFill patternType="darkHorizontal">
        <fgColor theme="7" tint="0.59996337778862885"/>
        <bgColor theme="0"/>
      </patternFill>
    </fill>
    <fill>
      <patternFill patternType="solid">
        <fgColor rgb="FF00B050"/>
        <bgColor indexed="64"/>
      </patternFill>
    </fill>
    <fill>
      <patternFill patternType="solid">
        <fgColor rgb="FFFF0000"/>
        <bgColor indexed="64"/>
      </patternFill>
    </fill>
    <fill>
      <patternFill patternType="solid">
        <fgColor rgb="FFFA7406"/>
        <bgColor indexed="64"/>
      </patternFill>
    </fill>
    <fill>
      <patternFill patternType="solid">
        <fgColor rgb="FF00FFFF"/>
        <bgColor indexed="64"/>
      </patternFill>
    </fill>
    <fill>
      <patternFill patternType="solid">
        <fgColor rgb="FF0066FF"/>
        <bgColor indexed="64"/>
      </patternFill>
    </fill>
    <fill>
      <patternFill patternType="solid">
        <fgColor theme="4" tint="-0.499984740745262"/>
        <bgColor indexed="64"/>
      </patternFill>
    </fill>
    <fill>
      <patternFill patternType="solid">
        <fgColor theme="3" tint="0.79998168889431442"/>
        <bgColor indexed="64"/>
      </patternFill>
    </fill>
  </fills>
  <borders count="45">
    <border>
      <left/>
      <right/>
      <top/>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right style="thin">
        <color theme="0" tint="-0.249977111117893"/>
      </right>
      <top/>
      <bottom style="thin">
        <color theme="0" tint="-0.249977111117893"/>
      </bottom>
      <diagonal/>
    </border>
    <border>
      <left style="thin">
        <color theme="0" tint="-0.249977111117893"/>
      </left>
      <right/>
      <top style="thin">
        <color theme="0" tint="-0.249977111117893"/>
      </top>
      <bottom/>
      <diagonal/>
    </border>
    <border>
      <left style="thin">
        <color theme="0" tint="-0.249977111117893"/>
      </left>
      <right/>
      <top/>
      <bottom/>
      <diagonal/>
    </border>
    <border>
      <left/>
      <right/>
      <top style="thin">
        <color theme="0" tint="-0.249977111117893"/>
      </top>
      <bottom/>
      <diagonal/>
    </border>
    <border>
      <left/>
      <right style="thin">
        <color theme="0" tint="-0.249977111117893"/>
      </right>
      <top/>
      <bottom/>
      <diagonal/>
    </border>
    <border>
      <left style="thin">
        <color theme="0" tint="-0.249977111117893"/>
      </left>
      <right/>
      <top/>
      <bottom style="thin">
        <color theme="0" tint="-0.249977111117893"/>
      </bottom>
      <diagonal/>
    </border>
    <border>
      <left/>
      <right/>
      <top/>
      <bottom style="thin">
        <color theme="0" tint="-0.249977111117893"/>
      </bottom>
      <diagonal/>
    </border>
    <border>
      <left style="thin">
        <color theme="4" tint="0.39997558519241921"/>
      </left>
      <right/>
      <top style="thin">
        <color theme="4" tint="0.39997558519241921"/>
      </top>
      <bottom style="thin">
        <color theme="4" tint="0.39997558519241921"/>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
      <left style="thin">
        <color theme="0" tint="-0.249977111117893"/>
      </left>
      <right/>
      <top style="thin">
        <color theme="0" tint="-0.249977111117893"/>
      </top>
      <bottom style="double">
        <color theme="2" tint="-0.499984740745262"/>
      </bottom>
      <diagonal/>
    </border>
    <border>
      <left/>
      <right/>
      <top style="thin">
        <color theme="0" tint="-0.249977111117893"/>
      </top>
      <bottom style="double">
        <color theme="2" tint="-0.499984740745262"/>
      </bottom>
      <diagonal/>
    </border>
    <border>
      <left/>
      <right style="thin">
        <color theme="0" tint="-0.249977111117893"/>
      </right>
      <top style="thin">
        <color theme="0" tint="-0.249977111117893"/>
      </top>
      <bottom style="double">
        <color theme="2" tint="-0.499984740745262"/>
      </bottom>
      <diagonal/>
    </border>
    <border>
      <left style="thin">
        <color theme="0" tint="-0.14999847407452621"/>
      </left>
      <right/>
      <top style="thin">
        <color theme="0" tint="-0.14999847407452621"/>
      </top>
      <bottom style="thin">
        <color theme="0" tint="-0.14999847407452621"/>
      </bottom>
      <diagonal/>
    </border>
    <border>
      <left/>
      <right/>
      <top style="thin">
        <color theme="0" tint="-0.14999847407452621"/>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right/>
      <top style="double">
        <color theme="2" tint="-0.499984740745262"/>
      </top>
      <bottom/>
      <diagonal/>
    </border>
    <border>
      <left style="thin">
        <color theme="0" tint="-0.249977111117893"/>
      </left>
      <right/>
      <top style="thin">
        <color theme="0" tint="-0.249977111117893"/>
      </top>
      <bottom style="double">
        <color theme="0" tint="-0.499984740745262"/>
      </bottom>
      <diagonal/>
    </border>
    <border>
      <left/>
      <right/>
      <top style="thin">
        <color theme="0" tint="-0.249977111117893"/>
      </top>
      <bottom style="double">
        <color theme="0" tint="-0.499984740745262"/>
      </bottom>
      <diagonal/>
    </border>
    <border>
      <left/>
      <right style="thin">
        <color theme="0" tint="-0.249977111117893"/>
      </right>
      <top style="thin">
        <color theme="0" tint="-0.249977111117893"/>
      </top>
      <bottom style="double">
        <color theme="0" tint="-0.499984740745262"/>
      </bottom>
      <diagonal/>
    </border>
    <border>
      <left/>
      <right/>
      <top style="thin">
        <color theme="0" tint="-0.249977111117893"/>
      </top>
      <bottom style="thin">
        <color theme="0" tint="-0.14999847407452621"/>
      </bottom>
      <diagonal/>
    </border>
    <border>
      <left/>
      <right/>
      <top style="thin">
        <color theme="4" tint="0.39997558519241921"/>
      </top>
      <bottom/>
      <diagonal/>
    </border>
    <border>
      <left/>
      <right/>
      <top style="thin">
        <color theme="0" tint="-0.24994659260841701"/>
      </top>
      <bottom/>
      <diagonal/>
    </border>
    <border>
      <left/>
      <right/>
      <top/>
      <bottom style="thin">
        <color indexed="64"/>
      </bottom>
      <diagonal/>
    </border>
    <border>
      <left style="thin">
        <color theme="0" tint="-0.249977111117893"/>
      </left>
      <right style="thin">
        <color theme="0" tint="-0.249977111117893"/>
      </right>
      <top style="thin">
        <color theme="0" tint="-0.249977111117893"/>
      </top>
      <bottom style="thin">
        <color indexed="64"/>
      </bottom>
      <diagonal/>
    </border>
    <border>
      <left/>
      <right/>
      <top/>
      <bottom style="double">
        <color theme="0" tint="-0.249977111117893"/>
      </bottom>
      <diagonal/>
    </border>
    <border>
      <left style="thin">
        <color theme="0" tint="-0.249977111117893"/>
      </left>
      <right/>
      <top/>
      <bottom style="dashDot">
        <color theme="0" tint="-0.249977111117893"/>
      </bottom>
      <diagonal/>
    </border>
    <border>
      <left/>
      <right/>
      <top/>
      <bottom style="dashDot">
        <color theme="0" tint="-0.249977111117893"/>
      </bottom>
      <diagonal/>
    </border>
    <border>
      <left/>
      <right style="thin">
        <color theme="0" tint="-0.249977111117893"/>
      </right>
      <top/>
      <bottom style="dashDot">
        <color theme="0" tint="-0.249977111117893"/>
      </bottom>
      <diagonal/>
    </border>
    <border>
      <left style="thin">
        <color theme="0" tint="-0.249977111117893"/>
      </left>
      <right/>
      <top style="dashDot">
        <color theme="0" tint="-0.249977111117893"/>
      </top>
      <bottom/>
      <diagonal/>
    </border>
    <border>
      <left/>
      <right/>
      <top style="dashDot">
        <color theme="0" tint="-0.249977111117893"/>
      </top>
      <bottom/>
      <diagonal/>
    </border>
    <border>
      <left/>
      <right style="thin">
        <color theme="0" tint="-0.249977111117893"/>
      </right>
      <top style="dashDot">
        <color theme="0" tint="-0.249977111117893"/>
      </top>
      <bottom/>
      <diagonal/>
    </border>
    <border>
      <left/>
      <right/>
      <top style="thin">
        <color theme="0" tint="-0.249977111117893"/>
      </top>
      <bottom style="dashDot">
        <color theme="0" tint="-0.249977111117893"/>
      </bottom>
      <diagonal/>
    </border>
    <border>
      <left/>
      <right/>
      <top style="double">
        <color theme="0" tint="-0.249977111117893"/>
      </top>
      <bottom/>
      <diagonal/>
    </border>
    <border>
      <left style="thin">
        <color theme="0" tint="-0.249977111117893"/>
      </left>
      <right/>
      <top/>
      <bottom style="double">
        <color theme="0" tint="-0.249977111117893"/>
      </bottom>
      <diagonal/>
    </border>
    <border>
      <left/>
      <right/>
      <top style="dashDot">
        <color theme="0" tint="-0.249977111117893"/>
      </top>
      <bottom style="thin">
        <color theme="0" tint="-0.249977111117893"/>
      </bottom>
      <diagonal/>
    </border>
    <border>
      <left/>
      <right/>
      <top style="double">
        <color theme="2" tint="-0.499984740745262"/>
      </top>
      <bottom style="thin">
        <color theme="0" tint="-0.249977111117893"/>
      </bottom>
      <diagonal/>
    </border>
    <border>
      <left/>
      <right style="medium">
        <color theme="0" tint="-0.499984740745262"/>
      </right>
      <top/>
      <bottom/>
      <diagonal/>
    </border>
    <border>
      <left style="medium">
        <color theme="0" tint="-0.499984740745262"/>
      </left>
      <right/>
      <top/>
      <bottom/>
      <diagonal/>
    </border>
  </borders>
  <cellStyleXfs count="14">
    <xf numFmtId="164" fontId="0" fillId="0" borderId="0"/>
    <xf numFmtId="164" fontId="2" fillId="0" borderId="0" applyNumberFormat="0" applyFill="0" applyBorder="0" applyAlignment="0" applyProtection="0">
      <alignment vertical="top"/>
      <protection locked="0"/>
    </xf>
    <xf numFmtId="164" fontId="1" fillId="3" borderId="0" applyFont="0" applyFill="0"/>
    <xf numFmtId="164" fontId="2" fillId="0" borderId="0" applyNumberFormat="0" applyFill="0" applyBorder="0" applyAlignment="0" applyProtection="0">
      <alignment vertical="top"/>
      <protection locked="0"/>
    </xf>
    <xf numFmtId="164" fontId="5" fillId="0" borderId="0"/>
    <xf numFmtId="0" fontId="5" fillId="0" borderId="0"/>
    <xf numFmtId="0" fontId="2" fillId="0" borderId="0" applyNumberFormat="0" applyFill="0" applyBorder="0" applyAlignment="0" applyProtection="0">
      <alignment vertical="top"/>
      <protection locked="0"/>
    </xf>
    <xf numFmtId="165" fontId="1" fillId="3" borderId="0" applyFont="0" applyFill="0"/>
    <xf numFmtId="0" fontId="5" fillId="0" borderId="0"/>
    <xf numFmtId="0" fontId="32" fillId="0" borderId="0" applyNumberFormat="0" applyFill="0" applyBorder="0" applyAlignment="0" applyProtection="0">
      <alignment vertical="top"/>
      <protection locked="0"/>
    </xf>
    <xf numFmtId="0" fontId="5" fillId="0" borderId="0"/>
    <xf numFmtId="44" fontId="5" fillId="0" borderId="0" applyFont="0" applyFill="0" applyBorder="0" applyAlignment="0" applyProtection="0"/>
    <xf numFmtId="43" fontId="5" fillId="0" borderId="0" applyFont="0" applyFill="0" applyBorder="0" applyAlignment="0" applyProtection="0"/>
    <xf numFmtId="0" fontId="5" fillId="0" borderId="0"/>
  </cellStyleXfs>
  <cellXfs count="754">
    <xf numFmtId="164" fontId="0" fillId="0" borderId="0" xfId="0"/>
    <xf numFmtId="164" fontId="13" fillId="0" borderId="0" xfId="0" applyFont="1" applyAlignment="1">
      <alignment vertical="top"/>
    </xf>
    <xf numFmtId="164" fontId="14" fillId="2" borderId="0" xfId="0" applyFont="1" applyFill="1" applyBorder="1"/>
    <xf numFmtId="164" fontId="13" fillId="0" borderId="0" xfId="0" applyFont="1" applyAlignment="1"/>
    <xf numFmtId="164" fontId="16" fillId="2" borderId="0" xfId="0" applyFont="1" applyFill="1" applyBorder="1" applyProtection="1"/>
    <xf numFmtId="164" fontId="22" fillId="0" borderId="0" xfId="0" applyFont="1"/>
    <xf numFmtId="164" fontId="23" fillId="0" borderId="0" xfId="0" applyFont="1"/>
    <xf numFmtId="164" fontId="4" fillId="0" borderId="0" xfId="0" applyFont="1"/>
    <xf numFmtId="164" fontId="19" fillId="4" borderId="0" xfId="0" applyFont="1" applyFill="1" applyBorder="1" applyAlignment="1" applyProtection="1">
      <alignment vertical="center"/>
    </xf>
    <xf numFmtId="164" fontId="19" fillId="0" borderId="0" xfId="0" applyFont="1" applyBorder="1" applyAlignment="1" applyProtection="1"/>
    <xf numFmtId="164" fontId="18" fillId="4" borderId="0" xfId="0" applyFont="1" applyFill="1" applyBorder="1" applyAlignment="1" applyProtection="1">
      <alignment vertical="center"/>
    </xf>
    <xf numFmtId="164" fontId="22" fillId="10" borderId="0" xfId="0" applyFont="1" applyFill="1"/>
    <xf numFmtId="164" fontId="0" fillId="2" borderId="12" xfId="0" applyFill="1" applyBorder="1"/>
    <xf numFmtId="164" fontId="23" fillId="2" borderId="0" xfId="0" applyFont="1" applyFill="1" applyBorder="1"/>
    <xf numFmtId="164" fontId="34" fillId="6" borderId="0" xfId="0" applyFont="1" applyFill="1" applyBorder="1" applyAlignment="1"/>
    <xf numFmtId="164" fontId="22" fillId="10" borderId="0" xfId="0" applyFont="1" applyFill="1" applyBorder="1"/>
    <xf numFmtId="164" fontId="33" fillId="6" borderId="0" xfId="0" applyFont="1" applyFill="1" applyBorder="1" applyAlignment="1"/>
    <xf numFmtId="164" fontId="35" fillId="10" borderId="0" xfId="0" applyFont="1" applyFill="1" applyBorder="1"/>
    <xf numFmtId="164" fontId="22" fillId="0" borderId="0" xfId="0" applyFont="1" applyBorder="1"/>
    <xf numFmtId="164" fontId="38" fillId="13" borderId="0" xfId="0" applyFont="1" applyFill="1" applyBorder="1" applyAlignment="1">
      <alignment horizontal="right" vertical="top"/>
    </xf>
    <xf numFmtId="164" fontId="38" fillId="10" borderId="0" xfId="0" applyFont="1" applyFill="1" applyBorder="1" applyAlignment="1">
      <alignment horizontal="left" vertical="top"/>
    </xf>
    <xf numFmtId="49" fontId="38" fillId="8" borderId="0" xfId="0" applyNumberFormat="1" applyFont="1" applyFill="1" applyBorder="1" applyAlignment="1">
      <alignment horizontal="left"/>
    </xf>
    <xf numFmtId="1" fontId="38" fillId="9" borderId="0" xfId="0" applyNumberFormat="1" applyFont="1" applyFill="1" applyBorder="1" applyAlignment="1">
      <alignment vertical="top"/>
    </xf>
    <xf numFmtId="164" fontId="0" fillId="0" borderId="0" xfId="0" applyBorder="1"/>
    <xf numFmtId="164" fontId="42" fillId="4" borderId="0" xfId="0" applyFont="1" applyFill="1" applyBorder="1" applyAlignment="1" applyProtection="1">
      <alignment horizontal="left" indent="4"/>
    </xf>
    <xf numFmtId="164" fontId="4" fillId="2" borderId="0" xfId="0" applyFont="1" applyFill="1"/>
    <xf numFmtId="164" fontId="4" fillId="2" borderId="0" xfId="0" applyFont="1" applyFill="1" applyAlignment="1">
      <alignment vertical="center"/>
    </xf>
    <xf numFmtId="164" fontId="45" fillId="2" borderId="0" xfId="0" applyFont="1" applyFill="1" applyAlignment="1">
      <alignment vertical="center" wrapText="1"/>
    </xf>
    <xf numFmtId="164" fontId="4" fillId="0" borderId="0" xfId="0" applyFont="1" applyAlignment="1">
      <alignment vertical="center"/>
    </xf>
    <xf numFmtId="164" fontId="4" fillId="0" borderId="0" xfId="0" applyFont="1"/>
    <xf numFmtId="0" fontId="18" fillId="2" borderId="4" xfId="0" applyNumberFormat="1" applyFont="1" applyFill="1" applyBorder="1" applyAlignment="1" applyProtection="1">
      <alignment horizontal="center" vertical="center"/>
      <protection locked="0"/>
    </xf>
    <xf numFmtId="0" fontId="4" fillId="2" borderId="12" xfId="0" applyNumberFormat="1" applyFont="1" applyFill="1" applyBorder="1" applyAlignment="1" applyProtection="1">
      <alignment horizontal="left" vertical="center" wrapText="1"/>
    </xf>
    <xf numFmtId="164" fontId="18" fillId="2" borderId="4" xfId="0" applyFont="1" applyFill="1" applyBorder="1" applyAlignment="1" applyProtection="1">
      <alignment vertical="center"/>
      <protection locked="0"/>
    </xf>
    <xf numFmtId="164" fontId="4" fillId="0" borderId="0" xfId="0" applyFont="1" applyAlignment="1"/>
    <xf numFmtId="164" fontId="42" fillId="2" borderId="0" xfId="0" applyFont="1" applyFill="1" applyBorder="1" applyAlignment="1">
      <alignment horizontal="center" vertical="center"/>
    </xf>
    <xf numFmtId="164" fontId="3" fillId="2" borderId="0" xfId="0" applyFont="1" applyFill="1" applyBorder="1" applyAlignment="1">
      <alignment horizontal="left" vertical="center"/>
    </xf>
    <xf numFmtId="0" fontId="18" fillId="2" borderId="1" xfId="1" applyNumberFormat="1" applyFont="1" applyFill="1" applyBorder="1" applyAlignment="1" applyProtection="1">
      <alignment vertical="center"/>
      <protection locked="0"/>
    </xf>
    <xf numFmtId="1" fontId="0" fillId="0" borderId="0" xfId="0" applyNumberFormat="1" applyAlignment="1">
      <alignment horizontal="center"/>
    </xf>
    <xf numFmtId="164" fontId="0" fillId="0" borderId="0" xfId="0"/>
    <xf numFmtId="164" fontId="18" fillId="2" borderId="0" xfId="0" applyFont="1" applyFill="1" applyBorder="1" applyAlignment="1" applyProtection="1">
      <alignment horizontal="left" indent="1"/>
    </xf>
    <xf numFmtId="164" fontId="4" fillId="2" borderId="0" xfId="0" applyFont="1" applyFill="1" applyBorder="1"/>
    <xf numFmtId="1" fontId="0" fillId="2" borderId="0" xfId="0" applyNumberFormat="1" applyFill="1" applyAlignment="1">
      <alignment horizontal="center"/>
    </xf>
    <xf numFmtId="1" fontId="62" fillId="2" borderId="0" xfId="0" applyNumberFormat="1" applyFont="1" applyFill="1" applyBorder="1" applyAlignment="1">
      <alignment horizontal="right"/>
    </xf>
    <xf numFmtId="1" fontId="61" fillId="2" borderId="0" xfId="0" applyNumberFormat="1" applyFont="1" applyFill="1" applyAlignment="1">
      <alignment horizontal="right"/>
    </xf>
    <xf numFmtId="1" fontId="61" fillId="0" borderId="0" xfId="0" applyNumberFormat="1" applyFont="1" applyAlignment="1">
      <alignment horizontal="right"/>
    </xf>
    <xf numFmtId="164" fontId="0" fillId="2" borderId="0" xfId="0" applyFill="1"/>
    <xf numFmtId="164" fontId="17" fillId="2" borderId="0" xfId="0" applyFont="1" applyFill="1" applyBorder="1" applyAlignment="1">
      <alignment horizontal="left" indent="1"/>
    </xf>
    <xf numFmtId="164" fontId="30" fillId="2" borderId="0" xfId="0" applyFont="1" applyFill="1" applyBorder="1" applyAlignment="1">
      <alignment horizontal="left" wrapText="1" indent="1"/>
    </xf>
    <xf numFmtId="164" fontId="13" fillId="0" borderId="0" xfId="0" applyFont="1" applyAlignment="1">
      <alignment horizontal="left" indent="1"/>
    </xf>
    <xf numFmtId="164" fontId="64" fillId="2" borderId="0" xfId="0" applyFont="1" applyFill="1" applyBorder="1" applyAlignment="1">
      <alignment horizontal="left" vertical="top" wrapText="1"/>
    </xf>
    <xf numFmtId="164" fontId="0" fillId="0" borderId="0" xfId="0" applyAlignment="1">
      <alignment vertical="top"/>
    </xf>
    <xf numFmtId="164" fontId="0" fillId="10" borderId="0" xfId="0" applyFill="1"/>
    <xf numFmtId="164" fontId="22" fillId="10" borderId="0" xfId="0" applyFont="1" applyFill="1"/>
    <xf numFmtId="164" fontId="0" fillId="2" borderId="0" xfId="0" applyFill="1" applyBorder="1"/>
    <xf numFmtId="1" fontId="61" fillId="11" borderId="13" xfId="0" applyNumberFormat="1" applyFont="1" applyFill="1" applyBorder="1" applyAlignment="1">
      <alignment horizontal="right"/>
    </xf>
    <xf numFmtId="165" fontId="28" fillId="11" borderId="15" xfId="0" applyNumberFormat="1" applyFont="1" applyFill="1" applyBorder="1" applyAlignment="1"/>
    <xf numFmtId="164" fontId="0" fillId="0" borderId="0" xfId="0"/>
    <xf numFmtId="164" fontId="44" fillId="2" borderId="0" xfId="0" applyFont="1" applyFill="1" applyAlignment="1">
      <alignment vertical="center" wrapText="1"/>
    </xf>
    <xf numFmtId="1" fontId="45" fillId="2" borderId="0" xfId="0" applyNumberFormat="1" applyFont="1" applyFill="1" applyAlignment="1">
      <alignment horizontal="center" vertical="center" wrapText="1"/>
    </xf>
    <xf numFmtId="165" fontId="28" fillId="2" borderId="0" xfId="0" applyNumberFormat="1" applyFont="1" applyFill="1" applyAlignment="1"/>
    <xf numFmtId="164" fontId="43" fillId="2" borderId="0" xfId="0" applyFont="1" applyFill="1" applyAlignment="1">
      <alignment wrapText="1"/>
    </xf>
    <xf numFmtId="1" fontId="43" fillId="2" borderId="0" xfId="0" applyNumberFormat="1" applyFont="1" applyFill="1" applyAlignment="1">
      <alignment horizontal="center" wrapText="1"/>
    </xf>
    <xf numFmtId="1" fontId="41" fillId="2" borderId="0" xfId="0" applyNumberFormat="1" applyFont="1" applyFill="1" applyAlignment="1">
      <alignment horizontal="right" vertical="top"/>
    </xf>
    <xf numFmtId="1" fontId="44" fillId="2" borderId="0" xfId="0" applyNumberFormat="1" applyFont="1" applyFill="1" applyAlignment="1">
      <alignment horizontal="center" vertical="center" wrapText="1"/>
    </xf>
    <xf numFmtId="164" fontId="0" fillId="0" borderId="0" xfId="0" applyFill="1"/>
    <xf numFmtId="164" fontId="4" fillId="0" borderId="0" xfId="0" applyFont="1" applyFill="1"/>
    <xf numFmtId="164" fontId="23" fillId="0" borderId="0" xfId="0" applyFont="1" applyFill="1"/>
    <xf numFmtId="1" fontId="18" fillId="2" borderId="0" xfId="0" applyNumberFormat="1" applyFont="1" applyFill="1" applyBorder="1" applyAlignment="1">
      <alignment horizontal="center" wrapText="1"/>
    </xf>
    <xf numFmtId="164" fontId="19" fillId="4" borderId="10" xfId="0" applyFont="1" applyFill="1" applyBorder="1" applyAlignment="1" applyProtection="1">
      <alignment vertical="center"/>
    </xf>
    <xf numFmtId="164" fontId="23" fillId="0" borderId="0" xfId="0" applyFont="1" applyAlignment="1">
      <alignment vertical="center"/>
    </xf>
    <xf numFmtId="164" fontId="0" fillId="0" borderId="0" xfId="0"/>
    <xf numFmtId="1" fontId="49" fillId="2" borderId="1" xfId="0" applyNumberFormat="1" applyFont="1" applyFill="1" applyBorder="1" applyAlignment="1">
      <alignment horizontal="left" vertical="center"/>
    </xf>
    <xf numFmtId="1" fontId="50" fillId="2" borderId="2" xfId="0" applyNumberFormat="1" applyFont="1" applyFill="1" applyBorder="1" applyAlignment="1">
      <alignment horizontal="left" vertical="center"/>
    </xf>
    <xf numFmtId="1" fontId="51" fillId="2" borderId="2" xfId="0" applyNumberFormat="1" applyFont="1" applyFill="1" applyBorder="1" applyAlignment="1">
      <alignment horizontal="left" vertical="center"/>
    </xf>
    <xf numFmtId="1" fontId="52" fillId="2" borderId="2" xfId="0" applyNumberFormat="1" applyFont="1" applyFill="1" applyBorder="1" applyAlignment="1">
      <alignment horizontal="left" vertical="center"/>
    </xf>
    <xf numFmtId="1" fontId="53" fillId="2" borderId="2" xfId="0" applyNumberFormat="1" applyFont="1" applyFill="1" applyBorder="1" applyAlignment="1">
      <alignment horizontal="left" vertical="center"/>
    </xf>
    <xf numFmtId="1" fontId="54" fillId="2" borderId="2" xfId="0" applyNumberFormat="1" applyFont="1" applyFill="1" applyBorder="1" applyAlignment="1">
      <alignment horizontal="left" vertical="center"/>
    </xf>
    <xf numFmtId="1" fontId="55" fillId="2" borderId="2" xfId="0" applyNumberFormat="1" applyFont="1" applyFill="1" applyBorder="1" applyAlignment="1">
      <alignment horizontal="left" vertical="center"/>
    </xf>
    <xf numFmtId="1" fontId="56" fillId="2" borderId="2" xfId="0" applyNumberFormat="1" applyFont="1" applyFill="1" applyBorder="1" applyAlignment="1">
      <alignment horizontal="left" vertical="center"/>
    </xf>
    <xf numFmtId="1" fontId="57" fillId="2" borderId="2" xfId="0" applyNumberFormat="1" applyFont="1" applyFill="1" applyBorder="1" applyAlignment="1">
      <alignment horizontal="left" vertical="center"/>
    </xf>
    <xf numFmtId="1" fontId="58" fillId="2" borderId="3" xfId="0" applyNumberFormat="1" applyFont="1" applyFill="1" applyBorder="1" applyAlignment="1">
      <alignment horizontal="left" vertical="center"/>
    </xf>
    <xf numFmtId="1" fontId="4" fillId="2" borderId="0" xfId="0" applyNumberFormat="1" applyFont="1" applyFill="1" applyBorder="1" applyAlignment="1">
      <alignment horizontal="left"/>
    </xf>
    <xf numFmtId="164" fontId="23" fillId="0" borderId="0" xfId="0" applyFont="1" applyBorder="1"/>
    <xf numFmtId="164" fontId="31" fillId="2" borderId="0" xfId="0" applyFont="1" applyFill="1" applyBorder="1" applyAlignment="1">
      <alignment vertical="center" wrapText="1"/>
    </xf>
    <xf numFmtId="1" fontId="49" fillId="5" borderId="0" xfId="0" applyNumberFormat="1" applyFont="1" applyFill="1" applyBorder="1" applyAlignment="1" applyProtection="1">
      <alignment horizontal="left" vertical="top"/>
    </xf>
    <xf numFmtId="1" fontId="50" fillId="5" borderId="0" xfId="0" applyNumberFormat="1" applyFont="1" applyFill="1" applyBorder="1" applyAlignment="1" applyProtection="1">
      <alignment horizontal="left" vertical="top"/>
    </xf>
    <xf numFmtId="1" fontId="51" fillId="5" borderId="0" xfId="0" applyNumberFormat="1" applyFont="1" applyFill="1" applyBorder="1" applyAlignment="1" applyProtection="1">
      <alignment horizontal="left" vertical="top"/>
    </xf>
    <xf numFmtId="1" fontId="52" fillId="5" borderId="0" xfId="0" applyNumberFormat="1" applyFont="1" applyFill="1" applyBorder="1" applyAlignment="1" applyProtection="1">
      <alignment horizontal="left" vertical="top"/>
    </xf>
    <xf numFmtId="1" fontId="53" fillId="5" borderId="0" xfId="0" applyNumberFormat="1" applyFont="1" applyFill="1" applyBorder="1" applyAlignment="1" applyProtection="1">
      <alignment horizontal="left" vertical="top"/>
    </xf>
    <xf numFmtId="1" fontId="54" fillId="5" borderId="0" xfId="0" applyNumberFormat="1" applyFont="1" applyFill="1" applyBorder="1" applyAlignment="1" applyProtection="1">
      <alignment horizontal="left" vertical="top"/>
    </xf>
    <xf numFmtId="1" fontId="55" fillId="5" borderId="0" xfId="0" applyNumberFormat="1" applyFont="1" applyFill="1" applyBorder="1" applyAlignment="1" applyProtection="1">
      <alignment horizontal="left" vertical="top"/>
    </xf>
    <xf numFmtId="1" fontId="56" fillId="5" borderId="0" xfId="0" applyNumberFormat="1" applyFont="1" applyFill="1" applyBorder="1" applyAlignment="1" applyProtection="1">
      <alignment horizontal="left" vertical="top"/>
    </xf>
    <xf numFmtId="1" fontId="57" fillId="5" borderId="0" xfId="0" applyNumberFormat="1" applyFont="1" applyFill="1" applyBorder="1" applyAlignment="1" applyProtection="1">
      <alignment horizontal="left" vertical="top"/>
    </xf>
    <xf numFmtId="1" fontId="58" fillId="5" borderId="0" xfId="0" applyNumberFormat="1" applyFont="1" applyFill="1" applyBorder="1" applyAlignment="1" applyProtection="1">
      <alignment horizontal="left" vertical="top"/>
    </xf>
    <xf numFmtId="164" fontId="4" fillId="2" borderId="0" xfId="0" applyFont="1" applyFill="1" applyBorder="1" applyAlignment="1"/>
    <xf numFmtId="164" fontId="4" fillId="2" borderId="0" xfId="0" applyFont="1" applyFill="1" applyBorder="1" applyAlignment="1">
      <alignment vertical="center"/>
    </xf>
    <xf numFmtId="164" fontId="29" fillId="15" borderId="0" xfId="0" applyFont="1" applyFill="1" applyBorder="1" applyAlignment="1">
      <alignment horizontal="left" vertical="center" wrapText="1" indent="2"/>
    </xf>
    <xf numFmtId="164" fontId="4" fillId="2" borderId="0" xfId="0" applyFont="1" applyFill="1" applyBorder="1" applyAlignment="1">
      <alignment wrapText="1"/>
    </xf>
    <xf numFmtId="37" fontId="4" fillId="15" borderId="0" xfId="11" applyNumberFormat="1" applyFont="1" applyFill="1" applyBorder="1" applyAlignment="1">
      <alignment horizontal="left" wrapText="1"/>
    </xf>
    <xf numFmtId="164" fontId="4" fillId="15" borderId="0" xfId="0" applyFont="1" applyFill="1" applyBorder="1" applyAlignment="1">
      <alignment vertical="top" wrapText="1"/>
    </xf>
    <xf numFmtId="37" fontId="4" fillId="15" borderId="0" xfId="11" applyNumberFormat="1" applyFont="1" applyFill="1" applyBorder="1" applyAlignment="1">
      <alignment horizontal="left" vertical="top" wrapText="1"/>
    </xf>
    <xf numFmtId="164" fontId="40" fillId="2" borderId="2" xfId="0" applyFont="1" applyFill="1" applyBorder="1" applyAlignment="1">
      <alignment horizontal="right" vertical="top"/>
    </xf>
    <xf numFmtId="164" fontId="0" fillId="0" borderId="0" xfId="0"/>
    <xf numFmtId="164" fontId="2" fillId="2" borderId="0" xfId="1" applyFill="1" applyBorder="1" applyAlignment="1" applyProtection="1">
      <alignment vertical="top" wrapText="1"/>
    </xf>
    <xf numFmtId="164" fontId="0" fillId="0" borderId="0" xfId="0"/>
    <xf numFmtId="164" fontId="31" fillId="2" borderId="2" xfId="0" applyFont="1" applyFill="1" applyBorder="1" applyAlignment="1">
      <alignment horizontal="left"/>
    </xf>
    <xf numFmtId="164" fontId="19" fillId="2" borderId="0" xfId="0" applyFont="1" applyFill="1" applyAlignment="1">
      <alignment horizontal="center" vertical="center" wrapText="1"/>
    </xf>
    <xf numFmtId="164" fontId="17" fillId="2" borderId="0" xfId="0" applyFont="1" applyFill="1" applyBorder="1" applyAlignment="1">
      <alignment horizontal="left"/>
    </xf>
    <xf numFmtId="164" fontId="8" fillId="2" borderId="0" xfId="0" applyFont="1" applyFill="1" applyBorder="1" applyAlignment="1"/>
    <xf numFmtId="164" fontId="0" fillId="2" borderId="9" xfId="0" applyFill="1" applyBorder="1"/>
    <xf numFmtId="164" fontId="22" fillId="15" borderId="0" xfId="0" applyFont="1" applyFill="1" applyBorder="1" applyAlignment="1">
      <alignment wrapText="1"/>
    </xf>
    <xf numFmtId="164" fontId="0" fillId="0" borderId="0" xfId="0" applyFill="1" applyBorder="1"/>
    <xf numFmtId="1" fontId="61" fillId="0" borderId="0" xfId="0" applyNumberFormat="1" applyFont="1" applyFill="1" applyAlignment="1">
      <alignment horizontal="right"/>
    </xf>
    <xf numFmtId="1" fontId="0" fillId="0" borderId="0" xfId="0" applyNumberFormat="1" applyFill="1" applyAlignment="1">
      <alignment horizontal="center"/>
    </xf>
    <xf numFmtId="164" fontId="23" fillId="0" borderId="0" xfId="0" applyFont="1" applyFill="1" applyBorder="1"/>
    <xf numFmtId="164" fontId="23" fillId="0" borderId="0" xfId="0" applyFont="1" applyFill="1" applyBorder="1" applyAlignment="1">
      <alignment vertical="center"/>
    </xf>
    <xf numFmtId="164" fontId="4" fillId="0" borderId="0" xfId="0" applyFont="1" applyFill="1" applyBorder="1" applyAlignment="1"/>
    <xf numFmtId="164" fontId="4" fillId="0" borderId="0" xfId="0" applyFont="1" applyFill="1" applyBorder="1" applyAlignment="1">
      <alignment vertical="center"/>
    </xf>
    <xf numFmtId="164" fontId="4" fillId="0" borderId="0" xfId="0" applyFont="1" applyFill="1" applyBorder="1"/>
    <xf numFmtId="164" fontId="69" fillId="0" borderId="0" xfId="0" applyFont="1" applyFill="1" applyAlignment="1"/>
    <xf numFmtId="1" fontId="41" fillId="0" borderId="0" xfId="0" applyNumberFormat="1" applyFont="1" applyFill="1" applyAlignment="1">
      <alignment horizontal="right" vertical="top"/>
    </xf>
    <xf numFmtId="1" fontId="9" fillId="0" borderId="4" xfId="0" applyNumberFormat="1" applyFont="1" applyFill="1" applyBorder="1" applyAlignment="1">
      <alignment horizontal="left" vertical="top"/>
    </xf>
    <xf numFmtId="164" fontId="23" fillId="0" borderId="4" xfId="0" applyFont="1" applyFill="1" applyBorder="1"/>
    <xf numFmtId="164" fontId="23" fillId="0" borderId="4" xfId="0" applyFont="1" applyFill="1" applyBorder="1" applyAlignment="1">
      <alignment vertical="top"/>
    </xf>
    <xf numFmtId="3" fontId="9" fillId="0" borderId="4" xfId="0" applyNumberFormat="1" applyFont="1" applyFill="1" applyBorder="1" applyAlignment="1">
      <alignment horizontal="left" vertical="top"/>
    </xf>
    <xf numFmtId="164" fontId="23" fillId="0" borderId="0" xfId="0" applyFont="1" applyFill="1" applyAlignment="1">
      <alignment vertical="center"/>
    </xf>
    <xf numFmtId="164" fontId="0" fillId="0" borderId="0" xfId="0" applyFill="1" applyAlignment="1">
      <alignment vertical="center"/>
    </xf>
    <xf numFmtId="164" fontId="4" fillId="0" borderId="0" xfId="0" applyFont="1" applyFill="1" applyAlignment="1"/>
    <xf numFmtId="1" fontId="9" fillId="0" borderId="0" xfId="0" applyNumberFormat="1" applyFont="1" applyFill="1" applyBorder="1" applyAlignment="1">
      <alignment horizontal="left" vertical="top"/>
    </xf>
    <xf numFmtId="164" fontId="0" fillId="0" borderId="0" xfId="0" applyFill="1" applyAlignment="1"/>
    <xf numFmtId="164" fontId="4" fillId="0" borderId="0" xfId="0" applyFont="1" applyFill="1" applyAlignment="1">
      <alignment vertical="center"/>
    </xf>
    <xf numFmtId="164" fontId="9" fillId="0" borderId="0" xfId="0" applyFont="1" applyFill="1" applyAlignment="1">
      <alignment horizontal="left" vertical="top"/>
    </xf>
    <xf numFmtId="1" fontId="9" fillId="0" borderId="0" xfId="0" applyNumberFormat="1" applyFont="1" applyFill="1" applyBorder="1" applyAlignment="1">
      <alignment horizontal="left" vertical="top" wrapText="1"/>
    </xf>
    <xf numFmtId="1" fontId="9" fillId="0" borderId="4" xfId="0" applyNumberFormat="1" applyFont="1" applyFill="1" applyBorder="1" applyAlignment="1">
      <alignment horizontal="left" vertical="top" wrapText="1"/>
    </xf>
    <xf numFmtId="1" fontId="9" fillId="0" borderId="0" xfId="0" applyNumberFormat="1" applyFont="1" applyFill="1" applyAlignment="1">
      <alignment horizontal="left" vertical="top"/>
    </xf>
    <xf numFmtId="1" fontId="9" fillId="0" borderId="3" xfId="0" applyNumberFormat="1" applyFont="1" applyFill="1" applyBorder="1" applyAlignment="1">
      <alignment horizontal="left" vertical="top" wrapText="1"/>
    </xf>
    <xf numFmtId="1" fontId="61" fillId="2" borderId="8" xfId="0" applyNumberFormat="1" applyFont="1" applyFill="1" applyBorder="1" applyAlignment="1">
      <alignment horizontal="right"/>
    </xf>
    <xf numFmtId="164" fontId="4" fillId="2" borderId="10" xfId="0" applyFont="1" applyFill="1" applyBorder="1" applyAlignment="1"/>
    <xf numFmtId="1" fontId="61" fillId="2" borderId="8" xfId="0" applyNumberFormat="1" applyFont="1" applyFill="1" applyBorder="1" applyAlignment="1">
      <alignment horizontal="right" vertical="center"/>
    </xf>
    <xf numFmtId="164" fontId="4" fillId="2" borderId="10" xfId="0" applyFont="1" applyFill="1" applyBorder="1" applyAlignment="1">
      <alignment vertical="center"/>
    </xf>
    <xf numFmtId="164" fontId="0" fillId="0" borderId="8" xfId="0" applyBorder="1"/>
    <xf numFmtId="164" fontId="0" fillId="0" borderId="10" xfId="0" applyBorder="1"/>
    <xf numFmtId="1" fontId="61" fillId="2" borderId="8" xfId="0" applyNumberFormat="1" applyFont="1" applyFill="1" applyBorder="1" applyAlignment="1" applyProtection="1">
      <alignment horizontal="right" vertical="center"/>
    </xf>
    <xf numFmtId="164" fontId="4" fillId="2" borderId="10" xfId="0" applyFont="1" applyFill="1" applyBorder="1" applyAlignment="1" applyProtection="1">
      <alignment vertical="center"/>
    </xf>
    <xf numFmtId="1" fontId="61" fillId="2" borderId="11" xfId="0" applyNumberFormat="1" applyFont="1" applyFill="1" applyBorder="1" applyAlignment="1">
      <alignment horizontal="right" vertical="center"/>
    </xf>
    <xf numFmtId="164" fontId="4" fillId="2" borderId="6" xfId="0" applyFont="1" applyFill="1" applyBorder="1" applyAlignment="1">
      <alignment vertical="center"/>
    </xf>
    <xf numFmtId="1" fontId="61" fillId="2" borderId="8" xfId="0" applyNumberFormat="1" applyFont="1" applyFill="1" applyBorder="1" applyAlignment="1" applyProtection="1">
      <alignment horizontal="right"/>
    </xf>
    <xf numFmtId="164" fontId="4" fillId="2" borderId="10" xfId="0" applyFont="1" applyFill="1" applyBorder="1" applyProtection="1"/>
    <xf numFmtId="164" fontId="23" fillId="2" borderId="10" xfId="0" applyFont="1" applyFill="1" applyBorder="1"/>
    <xf numFmtId="1" fontId="61" fillId="2" borderId="11" xfId="0" applyNumberFormat="1" applyFont="1" applyFill="1" applyBorder="1" applyAlignment="1">
      <alignment horizontal="right"/>
    </xf>
    <xf numFmtId="164" fontId="4" fillId="2" borderId="12" xfId="0" applyFont="1" applyFill="1" applyBorder="1"/>
    <xf numFmtId="164" fontId="0" fillId="2" borderId="6" xfId="0" applyFill="1" applyBorder="1"/>
    <xf numFmtId="1" fontId="63" fillId="12" borderId="16" xfId="0" applyNumberFormat="1" applyFont="1" applyFill="1" applyBorder="1" applyAlignment="1">
      <alignment horizontal="right" vertical="center"/>
    </xf>
    <xf numFmtId="164" fontId="20" fillId="12" borderId="17" xfId="0" applyFont="1" applyFill="1" applyBorder="1" applyAlignment="1">
      <alignment vertical="center"/>
    </xf>
    <xf numFmtId="164" fontId="27" fillId="12" borderId="18" xfId="0" applyFont="1" applyFill="1" applyBorder="1" applyAlignment="1">
      <alignment vertical="center"/>
    </xf>
    <xf numFmtId="1" fontId="61" fillId="15" borderId="8" xfId="0" applyNumberFormat="1" applyFont="1" applyFill="1" applyBorder="1" applyAlignment="1">
      <alignment horizontal="right"/>
    </xf>
    <xf numFmtId="164" fontId="23" fillId="15" borderId="10" xfId="0" applyFont="1" applyFill="1" applyBorder="1"/>
    <xf numFmtId="164" fontId="23" fillId="2" borderId="8" xfId="0" applyFont="1" applyFill="1" applyBorder="1" applyAlignment="1">
      <alignment vertical="center"/>
    </xf>
    <xf numFmtId="164" fontId="31" fillId="2" borderId="10" xfId="0" applyFont="1" applyFill="1" applyBorder="1" applyAlignment="1">
      <alignment vertical="center" wrapText="1"/>
    </xf>
    <xf numFmtId="164" fontId="31" fillId="2" borderId="2" xfId="0" applyFont="1" applyFill="1" applyBorder="1" applyAlignment="1">
      <alignment horizontal="left"/>
    </xf>
    <xf numFmtId="164" fontId="30" fillId="2" borderId="0" xfId="0" applyFont="1" applyFill="1" applyBorder="1" applyAlignment="1">
      <alignment wrapText="1"/>
    </xf>
    <xf numFmtId="164" fontId="0" fillId="0" borderId="0" xfId="0"/>
    <xf numFmtId="164" fontId="17" fillId="2" borderId="0" xfId="0" applyFont="1" applyFill="1" applyBorder="1" applyAlignment="1">
      <alignment horizontal="left" indent="2"/>
    </xf>
    <xf numFmtId="164" fontId="43" fillId="2" borderId="0" xfId="0" applyFont="1" applyFill="1" applyBorder="1" applyAlignment="1">
      <alignment wrapText="1"/>
    </xf>
    <xf numFmtId="164" fontId="4" fillId="15" borderId="0" xfId="0" applyFont="1" applyFill="1" applyBorder="1" applyAlignment="1">
      <alignment wrapText="1"/>
    </xf>
    <xf numFmtId="164" fontId="34" fillId="6" borderId="0" xfId="0" applyFont="1" applyFill="1" applyBorder="1" applyAlignment="1">
      <alignment horizontal="center"/>
    </xf>
    <xf numFmtId="164" fontId="48" fillId="2" borderId="0" xfId="0" applyFont="1" applyFill="1" applyBorder="1" applyAlignment="1">
      <alignment vertical="top" wrapText="1"/>
    </xf>
    <xf numFmtId="1" fontId="18" fillId="0" borderId="0" xfId="0" applyNumberFormat="1" applyFont="1" applyFill="1" applyBorder="1" applyAlignment="1">
      <alignment horizontal="center" wrapText="1"/>
    </xf>
    <xf numFmtId="164" fontId="13" fillId="0" borderId="0" xfId="0" applyFont="1" applyFill="1" applyAlignment="1">
      <alignment horizontal="left" indent="1"/>
    </xf>
    <xf numFmtId="164" fontId="14" fillId="0" borderId="0" xfId="0" applyFont="1" applyFill="1" applyAlignment="1">
      <alignment horizontal="left" indent="1"/>
    </xf>
    <xf numFmtId="164" fontId="18" fillId="0" borderId="0" xfId="0" quotePrefix="1" applyFont="1" applyFill="1" applyBorder="1" applyAlignment="1">
      <alignment horizontal="left" wrapText="1" indent="1"/>
    </xf>
    <xf numFmtId="164" fontId="0" fillId="0" borderId="0" xfId="0" applyFill="1" applyAlignment="1">
      <alignment horizontal="left" indent="1"/>
    </xf>
    <xf numFmtId="164" fontId="23" fillId="0" borderId="0" xfId="0" applyFont="1" applyFill="1" applyBorder="1" applyAlignment="1">
      <alignment horizontal="left" indent="1"/>
    </xf>
    <xf numFmtId="164" fontId="0" fillId="0" borderId="0" xfId="0" applyFill="1" applyBorder="1" applyAlignment="1">
      <alignment horizontal="left" indent="1"/>
    </xf>
    <xf numFmtId="164" fontId="23" fillId="0" borderId="0" xfId="0" applyFont="1" applyFill="1" applyBorder="1" applyAlignment="1">
      <alignment horizontal="left" wrapText="1" indent="1"/>
    </xf>
    <xf numFmtId="164" fontId="22" fillId="0" borderId="0" xfId="0" applyFont="1" applyFill="1" applyAlignment="1">
      <alignment horizontal="left" indent="1"/>
    </xf>
    <xf numFmtId="164" fontId="13" fillId="0" borderId="0" xfId="0" applyFont="1" applyFill="1" applyAlignment="1">
      <alignment vertical="top"/>
    </xf>
    <xf numFmtId="164" fontId="14" fillId="0" borderId="0" xfId="0" applyFont="1" applyFill="1"/>
    <xf numFmtId="164" fontId="23" fillId="0" borderId="0" xfId="0" applyFont="1" applyFill="1" applyBorder="1" applyAlignment="1">
      <alignment vertical="top"/>
    </xf>
    <xf numFmtId="164" fontId="23" fillId="0" borderId="0" xfId="0" applyFont="1" applyFill="1" applyBorder="1" applyAlignment="1">
      <alignment vertical="top" wrapText="1"/>
    </xf>
    <xf numFmtId="164" fontId="22" fillId="0" borderId="0" xfId="0" applyFont="1" applyFill="1" applyAlignment="1">
      <alignment vertical="top"/>
    </xf>
    <xf numFmtId="164" fontId="0" fillId="0" borderId="0" xfId="0" applyFont="1" applyFill="1" applyBorder="1"/>
    <xf numFmtId="164" fontId="13" fillId="0" borderId="0" xfId="0" applyFont="1" applyFill="1" applyAlignment="1"/>
    <xf numFmtId="164" fontId="14" fillId="0" borderId="0" xfId="0" applyFont="1" applyFill="1" applyAlignment="1"/>
    <xf numFmtId="164" fontId="18" fillId="0" borderId="0" xfId="0" quotePrefix="1" applyFont="1" applyFill="1" applyBorder="1" applyAlignment="1">
      <alignment wrapText="1"/>
    </xf>
    <xf numFmtId="164" fontId="23" fillId="0" borderId="0" xfId="0" applyFont="1" applyFill="1" applyBorder="1" applyAlignment="1"/>
    <xf numFmtId="164" fontId="0" fillId="0" borderId="0" xfId="0" applyFill="1" applyBorder="1" applyAlignment="1"/>
    <xf numFmtId="164" fontId="23" fillId="0" borderId="0" xfId="0" applyFont="1" applyFill="1" applyBorder="1" applyAlignment="1">
      <alignment wrapText="1"/>
    </xf>
    <xf numFmtId="164" fontId="22" fillId="0" borderId="0" xfId="0" applyFont="1" applyFill="1" applyAlignment="1"/>
    <xf numFmtId="164" fontId="14" fillId="0" borderId="0" xfId="0" applyFont="1" applyFill="1" applyAlignment="1">
      <alignment vertical="top"/>
    </xf>
    <xf numFmtId="164" fontId="0" fillId="0" borderId="0" xfId="0" applyFill="1" applyAlignment="1">
      <alignment vertical="top"/>
    </xf>
    <xf numFmtId="164" fontId="0" fillId="0" borderId="0" xfId="0" applyFill="1" applyBorder="1" applyAlignment="1">
      <alignment vertical="top"/>
    </xf>
    <xf numFmtId="164" fontId="4" fillId="2" borderId="12" xfId="0" applyFont="1" applyFill="1" applyBorder="1" applyAlignment="1">
      <alignment horizontal="center" vertical="center" wrapText="1"/>
    </xf>
    <xf numFmtId="164" fontId="4" fillId="2" borderId="0" xfId="0" applyFont="1" applyFill="1" applyBorder="1" applyAlignment="1">
      <alignment horizontal="center" vertical="center" wrapText="1"/>
    </xf>
    <xf numFmtId="164" fontId="4" fillId="2" borderId="0" xfId="0" applyFont="1" applyFill="1" applyBorder="1" applyAlignment="1">
      <alignment horizontal="left" vertical="center" wrapText="1"/>
    </xf>
    <xf numFmtId="164" fontId="0" fillId="2" borderId="12" xfId="0" applyFont="1" applyFill="1" applyBorder="1" applyAlignment="1">
      <alignment horizontal="left" vertical="center" wrapText="1"/>
    </xf>
    <xf numFmtId="1" fontId="60" fillId="17" borderId="2" xfId="0" applyNumberFormat="1" applyFont="1" applyFill="1" applyBorder="1" applyAlignment="1">
      <alignment vertical="top" wrapText="1"/>
    </xf>
    <xf numFmtId="164" fontId="4" fillId="2" borderId="2" xfId="0" applyFont="1" applyFill="1" applyBorder="1" applyAlignment="1">
      <alignment horizontal="left" indent="3"/>
    </xf>
    <xf numFmtId="164" fontId="31" fillId="2" borderId="0" xfId="0" applyFont="1" applyFill="1" applyAlignment="1">
      <alignment vertical="center" wrapText="1"/>
    </xf>
    <xf numFmtId="1" fontId="4" fillId="2" borderId="0" xfId="0" applyNumberFormat="1" applyFont="1" applyFill="1"/>
    <xf numFmtId="164" fontId="22" fillId="0" borderId="0" xfId="0" applyFont="1" applyFill="1" applyBorder="1" applyAlignment="1"/>
    <xf numFmtId="1" fontId="66" fillId="0" borderId="0" xfId="0" applyNumberFormat="1" applyFont="1" applyFill="1" applyBorder="1" applyAlignment="1">
      <alignment horizontal="left" vertical="top"/>
    </xf>
    <xf numFmtId="164" fontId="66" fillId="0" borderId="0" xfId="0" applyFont="1" applyFill="1" applyAlignment="1"/>
    <xf numFmtId="164" fontId="22" fillId="0" borderId="0" xfId="0" applyFont="1" applyAlignment="1"/>
    <xf numFmtId="1" fontId="66" fillId="0" borderId="0" xfId="0" applyNumberFormat="1" applyFont="1" applyFill="1" applyBorder="1" applyAlignment="1">
      <alignment horizontal="left" vertical="top" wrapText="1"/>
    </xf>
    <xf numFmtId="164" fontId="66" fillId="0" borderId="0" xfId="0" applyFont="1" applyFill="1" applyAlignment="1">
      <alignment horizontal="left" vertical="top"/>
    </xf>
    <xf numFmtId="164" fontId="22" fillId="0" borderId="0" xfId="0" applyFont="1" applyFill="1" applyBorder="1" applyAlignment="1">
      <alignment vertical="center"/>
    </xf>
    <xf numFmtId="164" fontId="22" fillId="0" borderId="0" xfId="0" applyFont="1" applyFill="1" applyAlignment="1">
      <alignment vertical="center"/>
    </xf>
    <xf numFmtId="164" fontId="66" fillId="0" borderId="0" xfId="0" applyFont="1" applyFill="1"/>
    <xf numFmtId="164" fontId="22" fillId="0" borderId="0" xfId="0" applyFont="1" applyAlignment="1">
      <alignment vertical="center"/>
    </xf>
    <xf numFmtId="1" fontId="71" fillId="2" borderId="8" xfId="0" applyNumberFormat="1" applyFont="1" applyFill="1" applyBorder="1" applyAlignment="1">
      <alignment horizontal="right"/>
    </xf>
    <xf numFmtId="164" fontId="22" fillId="2" borderId="10" xfId="0" applyFont="1" applyFill="1" applyBorder="1" applyAlignment="1"/>
    <xf numFmtId="164" fontId="73" fillId="2" borderId="0" xfId="0" applyFont="1" applyFill="1" applyBorder="1" applyAlignment="1">
      <alignment horizontal="right"/>
    </xf>
    <xf numFmtId="1" fontId="28" fillId="2" borderId="4" xfId="0" applyNumberFormat="1" applyFont="1" applyFill="1" applyBorder="1" applyAlignment="1">
      <alignment horizontal="right"/>
    </xf>
    <xf numFmtId="1" fontId="38" fillId="9" borderId="0" xfId="0" applyNumberFormat="1" applyFont="1" applyFill="1" applyBorder="1" applyAlignment="1">
      <alignment horizontal="right" vertical="top"/>
    </xf>
    <xf numFmtId="164" fontId="47" fillId="2" borderId="9" xfId="0" applyFont="1" applyFill="1" applyBorder="1" applyAlignment="1">
      <alignment horizontal="left"/>
    </xf>
    <xf numFmtId="164" fontId="78" fillId="0" borderId="0" xfId="0" applyFont="1" applyFill="1" applyAlignment="1"/>
    <xf numFmtId="164" fontId="79" fillId="0" borderId="0" xfId="0" applyFont="1" applyFill="1" applyAlignment="1">
      <alignment horizontal="left" vertical="top"/>
    </xf>
    <xf numFmtId="164" fontId="79" fillId="0" borderId="0" xfId="0" applyFont="1" applyFill="1" applyAlignment="1"/>
    <xf numFmtId="164" fontId="78" fillId="0" borderId="0" xfId="0" applyFont="1" applyAlignment="1"/>
    <xf numFmtId="1" fontId="6" fillId="2" borderId="0" xfId="0" applyNumberFormat="1" applyFont="1" applyFill="1" applyAlignment="1">
      <alignment horizontal="right"/>
    </xf>
    <xf numFmtId="164" fontId="37" fillId="0" borderId="0" xfId="0" applyFont="1" applyAlignment="1">
      <alignment horizontal="left" wrapText="1" indent="4"/>
    </xf>
    <xf numFmtId="1" fontId="73" fillId="2" borderId="0" xfId="0" applyNumberFormat="1" applyFont="1" applyFill="1" applyBorder="1" applyAlignment="1">
      <alignment horizontal="right"/>
    </xf>
    <xf numFmtId="3" fontId="37" fillId="2" borderId="0" xfId="0" applyNumberFormat="1" applyFont="1" applyFill="1" applyBorder="1" applyAlignment="1">
      <alignment horizontal="right" vertical="center" wrapText="1"/>
    </xf>
    <xf numFmtId="164" fontId="22" fillId="0" borderId="0" xfId="0" applyFont="1" applyFill="1"/>
    <xf numFmtId="1" fontId="66" fillId="0" borderId="0" xfId="0" applyNumberFormat="1" applyFont="1" applyFill="1" applyAlignment="1">
      <alignment horizontal="center"/>
    </xf>
    <xf numFmtId="164" fontId="46" fillId="2" borderId="0" xfId="0" applyFont="1" applyFill="1" applyBorder="1" applyAlignment="1"/>
    <xf numFmtId="1" fontId="79" fillId="0" borderId="0" xfId="0" applyNumberFormat="1" applyFont="1" applyFill="1" applyBorder="1" applyAlignment="1">
      <alignment horizontal="left" vertical="top"/>
    </xf>
    <xf numFmtId="1" fontId="0" fillId="0" borderId="0" xfId="0" applyNumberFormat="1" applyFont="1" applyFill="1" applyBorder="1" applyAlignment="1">
      <alignment horizontal="left" vertical="top" wrapText="1"/>
    </xf>
    <xf numFmtId="164" fontId="0" fillId="0" borderId="0" xfId="0" applyFont="1" applyFill="1" applyAlignment="1">
      <alignment horizontal="left" vertical="top"/>
    </xf>
    <xf numFmtId="164" fontId="0" fillId="0" borderId="0" xfId="0" applyFont="1" applyFill="1" applyAlignment="1"/>
    <xf numFmtId="164" fontId="31" fillId="2" borderId="9" xfId="0" applyFont="1" applyFill="1" applyBorder="1" applyAlignment="1">
      <alignment horizontal="left"/>
    </xf>
    <xf numFmtId="1" fontId="74" fillId="2" borderId="8" xfId="0" applyNumberFormat="1" applyFont="1" applyFill="1" applyBorder="1" applyAlignment="1">
      <alignment horizontal="right"/>
    </xf>
    <xf numFmtId="1" fontId="74" fillId="2" borderId="8" xfId="0" applyNumberFormat="1" applyFont="1" applyFill="1" applyBorder="1" applyAlignment="1" applyProtection="1">
      <alignment horizontal="right"/>
    </xf>
    <xf numFmtId="164" fontId="4" fillId="2" borderId="0" xfId="0" applyFont="1" applyFill="1" applyBorder="1" applyAlignment="1" applyProtection="1">
      <alignment horizontal="left" indent="1"/>
    </xf>
    <xf numFmtId="1" fontId="0" fillId="0" borderId="0" xfId="0" applyNumberFormat="1" applyFont="1" applyFill="1" applyAlignment="1">
      <alignment horizontal="left" vertical="top"/>
    </xf>
    <xf numFmtId="164" fontId="0" fillId="0" borderId="0" xfId="0" applyFont="1" applyFill="1"/>
    <xf numFmtId="1" fontId="74" fillId="15" borderId="8" xfId="0" applyNumberFormat="1" applyFont="1" applyFill="1" applyBorder="1" applyAlignment="1">
      <alignment horizontal="right"/>
    </xf>
    <xf numFmtId="164" fontId="25" fillId="15" borderId="0" xfId="0" applyFont="1" applyFill="1" applyBorder="1" applyAlignment="1">
      <alignment horizontal="left" vertical="center" wrapText="1" indent="2"/>
    </xf>
    <xf numFmtId="164" fontId="4" fillId="0" borderId="0" xfId="0" applyFont="1" applyBorder="1"/>
    <xf numFmtId="164" fontId="4" fillId="15" borderId="10" xfId="0" applyFont="1" applyFill="1" applyBorder="1"/>
    <xf numFmtId="1" fontId="91" fillId="0" borderId="0" xfId="0" applyNumberFormat="1" applyFont="1" applyFill="1" applyAlignment="1">
      <alignment horizontal="right" vertical="top"/>
    </xf>
    <xf numFmtId="1" fontId="0" fillId="0" borderId="0" xfId="0" applyNumberFormat="1" applyFont="1" applyFill="1" applyBorder="1" applyAlignment="1">
      <alignment horizontal="left" vertical="top"/>
    </xf>
    <xf numFmtId="1" fontId="75" fillId="2" borderId="8" xfId="0" applyNumberFormat="1" applyFont="1" applyFill="1" applyBorder="1" applyAlignment="1">
      <alignment horizontal="right"/>
    </xf>
    <xf numFmtId="164" fontId="78" fillId="2" borderId="10" xfId="0" applyFont="1" applyFill="1" applyBorder="1" applyAlignment="1"/>
    <xf numFmtId="1" fontId="74" fillId="2" borderId="8" xfId="0" applyNumberFormat="1" applyFont="1" applyFill="1" applyBorder="1" applyAlignment="1" applyProtection="1">
      <alignment horizontal="right" vertical="center"/>
    </xf>
    <xf numFmtId="49" fontId="20" fillId="12" borderId="17" xfId="0" applyNumberFormat="1" applyFont="1" applyFill="1" applyBorder="1" applyAlignment="1" applyProtection="1">
      <alignment vertical="center"/>
      <protection locked="0"/>
    </xf>
    <xf numFmtId="164" fontId="78" fillId="2" borderId="0" xfId="0" applyFont="1" applyFill="1" applyBorder="1" applyAlignment="1"/>
    <xf numFmtId="1" fontId="63" fillId="12" borderId="23" xfId="0" applyNumberFormat="1" applyFont="1" applyFill="1" applyBorder="1" applyAlignment="1">
      <alignment horizontal="right"/>
    </xf>
    <xf numFmtId="164" fontId="20" fillId="12" borderId="24" xfId="0" applyFont="1" applyFill="1" applyBorder="1"/>
    <xf numFmtId="164" fontId="27" fillId="12" borderId="25" xfId="0" applyFont="1" applyFill="1" applyBorder="1"/>
    <xf numFmtId="0" fontId="23" fillId="2" borderId="0" xfId="0" applyNumberFormat="1" applyFont="1" applyFill="1" applyBorder="1" applyAlignment="1">
      <alignment horizontal="left"/>
    </xf>
    <xf numFmtId="1" fontId="61" fillId="2" borderId="8" xfId="0" applyNumberFormat="1" applyFont="1" applyFill="1" applyBorder="1" applyAlignment="1">
      <alignment horizontal="left" indent="1"/>
    </xf>
    <xf numFmtId="164" fontId="30" fillId="2" borderId="10" xfId="0" applyFont="1" applyFill="1" applyBorder="1" applyAlignment="1">
      <alignment horizontal="left" wrapText="1" indent="1"/>
    </xf>
    <xf numFmtId="1" fontId="61" fillId="2" borderId="8" xfId="0" applyNumberFormat="1" applyFont="1" applyFill="1" applyBorder="1" applyAlignment="1">
      <alignment horizontal="right" vertical="top"/>
    </xf>
    <xf numFmtId="164" fontId="30" fillId="2" borderId="10" xfId="0" applyFont="1" applyFill="1" applyBorder="1" applyAlignment="1">
      <alignment horizontal="left" wrapText="1"/>
    </xf>
    <xf numFmtId="1" fontId="60" fillId="15" borderId="10" xfId="0" applyNumberFormat="1" applyFont="1" applyFill="1" applyBorder="1" applyAlignment="1">
      <alignment horizontal="center" vertical="top" wrapText="1"/>
    </xf>
    <xf numFmtId="164" fontId="30" fillId="2" borderId="10" xfId="0" applyFont="1" applyFill="1" applyBorder="1" applyAlignment="1">
      <alignment wrapText="1"/>
    </xf>
    <xf numFmtId="164" fontId="30" fillId="2" borderId="10" xfId="0" applyFont="1" applyFill="1" applyBorder="1" applyAlignment="1">
      <alignment vertical="top" wrapText="1"/>
    </xf>
    <xf numFmtId="1" fontId="71" fillId="2" borderId="8" xfId="0" applyNumberFormat="1" applyFont="1" applyFill="1" applyBorder="1" applyAlignment="1" applyProtection="1">
      <alignment horizontal="right"/>
    </xf>
    <xf numFmtId="164" fontId="22" fillId="2" borderId="10" xfId="0" applyFont="1" applyFill="1" applyBorder="1" applyProtection="1"/>
    <xf numFmtId="164" fontId="92" fillId="0" borderId="0" xfId="0" applyFont="1" applyFill="1" applyAlignment="1">
      <alignment horizontal="right"/>
    </xf>
    <xf numFmtId="1" fontId="23" fillId="0" borderId="4" xfId="0" applyNumberFormat="1" applyFont="1" applyFill="1" applyBorder="1" applyAlignment="1">
      <alignment horizontal="center"/>
    </xf>
    <xf numFmtId="164" fontId="23" fillId="0" borderId="4" xfId="0" applyFont="1" applyFill="1" applyBorder="1" applyAlignment="1">
      <alignment wrapText="1"/>
    </xf>
    <xf numFmtId="164" fontId="15" fillId="12" borderId="25" xfId="0" applyFont="1" applyFill="1" applyBorder="1"/>
    <xf numFmtId="164" fontId="14" fillId="2" borderId="10" xfId="0" applyFont="1" applyFill="1" applyBorder="1"/>
    <xf numFmtId="1" fontId="63" fillId="4" borderId="8" xfId="0" applyNumberFormat="1" applyFont="1" applyFill="1" applyBorder="1" applyAlignment="1" applyProtection="1">
      <alignment horizontal="right"/>
    </xf>
    <xf numFmtId="164" fontId="14" fillId="2" borderId="10" xfId="0" applyFont="1" applyFill="1" applyBorder="1" applyProtection="1"/>
    <xf numFmtId="1" fontId="87" fillId="2" borderId="9" xfId="0" applyNumberFormat="1" applyFont="1" applyFill="1" applyBorder="1" applyAlignment="1" applyProtection="1">
      <alignment horizontal="left" vertical="top"/>
    </xf>
    <xf numFmtId="1" fontId="88" fillId="2" borderId="9" xfId="0" applyNumberFormat="1" applyFont="1" applyFill="1" applyBorder="1" applyAlignment="1" applyProtection="1">
      <alignment horizontal="left" vertical="top"/>
    </xf>
    <xf numFmtId="1" fontId="89" fillId="2" borderId="9" xfId="0" applyNumberFormat="1" applyFont="1" applyFill="1" applyBorder="1" applyAlignment="1" applyProtection="1">
      <alignment horizontal="left" vertical="top"/>
    </xf>
    <xf numFmtId="1" fontId="90" fillId="2" borderId="9" xfId="0" applyNumberFormat="1" applyFont="1" applyFill="1" applyBorder="1" applyAlignment="1" applyProtection="1">
      <alignment horizontal="left" vertical="top"/>
    </xf>
    <xf numFmtId="1" fontId="0" fillId="2" borderId="0" xfId="0" applyNumberFormat="1" applyFont="1" applyFill="1" applyAlignment="1">
      <alignment horizontal="center"/>
    </xf>
    <xf numFmtId="164" fontId="0" fillId="2" borderId="0" xfId="0" applyFont="1" applyFill="1"/>
    <xf numFmtId="164" fontId="31" fillId="4" borderId="0" xfId="0" applyFont="1" applyFill="1" applyBorder="1" applyAlignment="1" applyProtection="1">
      <alignment horizontal="left" vertical="center"/>
    </xf>
    <xf numFmtId="164" fontId="31" fillId="4" borderId="0" xfId="0" applyFont="1" applyFill="1" applyBorder="1" applyAlignment="1" applyProtection="1">
      <alignment vertical="center"/>
    </xf>
    <xf numFmtId="164" fontId="31" fillId="4" borderId="0" xfId="0" applyFont="1" applyFill="1" applyBorder="1" applyAlignment="1" applyProtection="1">
      <alignment horizontal="left" vertical="center" indent="1"/>
    </xf>
    <xf numFmtId="164" fontId="31" fillId="4" borderId="10" xfId="0" applyFont="1" applyFill="1" applyBorder="1" applyAlignment="1" applyProtection="1">
      <alignment horizontal="left" vertical="center" indent="2"/>
    </xf>
    <xf numFmtId="164" fontId="0" fillId="2" borderId="0" xfId="0" applyFont="1" applyFill="1" applyBorder="1"/>
    <xf numFmtId="164" fontId="31" fillId="4" borderId="10" xfId="0" applyFont="1" applyFill="1" applyBorder="1" applyAlignment="1" applyProtection="1">
      <alignment vertical="center"/>
    </xf>
    <xf numFmtId="164" fontId="31" fillId="4" borderId="10" xfId="0" applyFont="1" applyFill="1" applyBorder="1" applyAlignment="1" applyProtection="1">
      <alignment horizontal="left" vertical="center"/>
    </xf>
    <xf numFmtId="164" fontId="70" fillId="2" borderId="0" xfId="0" applyFont="1" applyFill="1" applyBorder="1" applyAlignment="1">
      <alignment horizontal="right"/>
    </xf>
    <xf numFmtId="1" fontId="76" fillId="2" borderId="4" xfId="0" applyNumberFormat="1" applyFont="1" applyFill="1" applyBorder="1" applyAlignment="1">
      <alignment vertical="top" wrapText="1"/>
    </xf>
    <xf numFmtId="164" fontId="3" fillId="0" borderId="0" xfId="0" applyFont="1"/>
    <xf numFmtId="164" fontId="72" fillId="2" borderId="0" xfId="0" applyFont="1" applyFill="1"/>
    <xf numFmtId="164" fontId="3" fillId="2" borderId="0" xfId="0" applyFont="1" applyFill="1"/>
    <xf numFmtId="164" fontId="21" fillId="2" borderId="0" xfId="0" applyFont="1" applyFill="1" applyBorder="1" applyAlignment="1">
      <alignment vertical="top" wrapText="1"/>
    </xf>
    <xf numFmtId="164" fontId="20" fillId="2" borderId="0" xfId="0" applyFont="1" applyFill="1" applyAlignment="1">
      <alignment vertical="center" wrapText="1"/>
    </xf>
    <xf numFmtId="164" fontId="93" fillId="2" borderId="0" xfId="0" applyFont="1" applyFill="1" applyAlignment="1">
      <alignment vertical="top" wrapText="1"/>
    </xf>
    <xf numFmtId="1" fontId="93" fillId="2" borderId="4" xfId="0" applyNumberFormat="1" applyFont="1" applyFill="1" applyBorder="1" applyAlignment="1">
      <alignment vertical="top" wrapText="1"/>
    </xf>
    <xf numFmtId="1" fontId="13" fillId="0" borderId="4" xfId="0" applyNumberFormat="1" applyFont="1" applyFill="1" applyBorder="1" applyAlignment="1" applyProtection="1">
      <alignment vertical="top"/>
      <protection locked="0"/>
    </xf>
    <xf numFmtId="164" fontId="31" fillId="2" borderId="2" xfId="0" applyFont="1" applyFill="1" applyBorder="1" applyAlignment="1">
      <alignment horizontal="left"/>
    </xf>
    <xf numFmtId="164" fontId="31" fillId="2" borderId="2" xfId="0" applyFont="1" applyFill="1" applyBorder="1" applyAlignment="1">
      <alignment horizontal="left"/>
    </xf>
    <xf numFmtId="164" fontId="4" fillId="2" borderId="12" xfId="0" applyFont="1" applyFill="1" applyBorder="1" applyAlignment="1">
      <alignment horizontal="left" vertical="center" wrapText="1"/>
    </xf>
    <xf numFmtId="164" fontId="0" fillId="2" borderId="12" xfId="0" applyFont="1" applyFill="1" applyBorder="1" applyAlignment="1">
      <alignment vertical="center" wrapText="1"/>
    </xf>
    <xf numFmtId="1" fontId="61" fillId="2" borderId="0" xfId="0" applyNumberFormat="1" applyFont="1" applyFill="1" applyBorder="1" applyAlignment="1">
      <alignment horizontal="right" vertical="center"/>
    </xf>
    <xf numFmtId="164" fontId="40" fillId="2" borderId="0" xfId="0" applyFont="1" applyFill="1" applyBorder="1" applyAlignment="1">
      <alignment horizontal="right" vertical="top"/>
    </xf>
    <xf numFmtId="164" fontId="0" fillId="0" borderId="0" xfId="0"/>
    <xf numFmtId="1" fontId="13" fillId="0" borderId="0" xfId="0" applyNumberFormat="1" applyFont="1" applyFill="1" applyBorder="1" applyAlignment="1" applyProtection="1">
      <alignment vertical="top"/>
      <protection locked="0"/>
    </xf>
    <xf numFmtId="1" fontId="60" fillId="0" borderId="0" xfId="0" applyNumberFormat="1" applyFont="1" applyFill="1" applyBorder="1" applyAlignment="1">
      <alignment vertical="top" wrapText="1"/>
    </xf>
    <xf numFmtId="164" fontId="96" fillId="0" borderId="0" xfId="0" applyFont="1"/>
    <xf numFmtId="164" fontId="98" fillId="0" borderId="0" xfId="1" applyFont="1" applyFill="1" applyBorder="1" applyAlignment="1" applyProtection="1">
      <alignment vertical="center"/>
    </xf>
    <xf numFmtId="164" fontId="0" fillId="0" borderId="0" xfId="0"/>
    <xf numFmtId="164" fontId="43" fillId="2" borderId="27" xfId="0" applyFont="1" applyFill="1" applyBorder="1" applyAlignment="1">
      <alignment wrapText="1"/>
    </xf>
    <xf numFmtId="164" fontId="99" fillId="2" borderId="0" xfId="1" applyFont="1" applyFill="1" applyBorder="1" applyAlignment="1" applyProtection="1"/>
    <xf numFmtId="164" fontId="18" fillId="0" borderId="0" xfId="0" applyFont="1" applyFill="1" applyBorder="1" applyAlignment="1">
      <alignment wrapText="1"/>
    </xf>
    <xf numFmtId="164" fontId="99" fillId="2" borderId="9" xfId="1" applyFont="1" applyFill="1" applyBorder="1" applyAlignment="1" applyProtection="1"/>
    <xf numFmtId="164" fontId="4" fillId="15" borderId="0" xfId="0" applyFont="1" applyFill="1" applyBorder="1" applyAlignment="1">
      <alignment wrapText="1"/>
    </xf>
    <xf numFmtId="164" fontId="59" fillId="0" borderId="0" xfId="0" applyFont="1" applyAlignment="1">
      <alignment vertical="center"/>
    </xf>
    <xf numFmtId="164" fontId="18" fillId="0" borderId="0" xfId="0" applyFont="1"/>
    <xf numFmtId="164" fontId="101" fillId="0" borderId="0" xfId="0" applyFont="1" applyFill="1"/>
    <xf numFmtId="164" fontId="100" fillId="0" borderId="0" xfId="1" applyFont="1" applyFill="1" applyBorder="1" applyAlignment="1" applyProtection="1">
      <alignment horizontal="center" vertical="center"/>
    </xf>
    <xf numFmtId="164" fontId="101" fillId="0" borderId="0" xfId="0" applyFont="1" applyFill="1" applyAlignment="1">
      <alignment horizontal="center"/>
    </xf>
    <xf numFmtId="164" fontId="23" fillId="0" borderId="0" xfId="0" applyFont="1" applyAlignment="1">
      <alignment horizontal="center"/>
    </xf>
    <xf numFmtId="164" fontId="14" fillId="2" borderId="10" xfId="0" applyFont="1" applyFill="1" applyBorder="1" applyAlignment="1">
      <alignment vertical="center"/>
    </xf>
    <xf numFmtId="1" fontId="41" fillId="0" borderId="0" xfId="0" applyNumberFormat="1" applyFont="1" applyFill="1" applyAlignment="1">
      <alignment horizontal="right" vertical="center"/>
    </xf>
    <xf numFmtId="164" fontId="101" fillId="0" borderId="0" xfId="0" applyFont="1" applyFill="1" applyBorder="1"/>
    <xf numFmtId="164" fontId="101" fillId="0" borderId="0" xfId="0" applyFont="1" applyFill="1" applyBorder="1" applyAlignment="1">
      <alignment vertical="center"/>
    </xf>
    <xf numFmtId="164" fontId="101" fillId="0" borderId="0" xfId="0" applyFont="1" applyFill="1" applyBorder="1" applyAlignment="1"/>
    <xf numFmtId="164" fontId="101" fillId="0" borderId="0" xfId="0" applyFont="1" applyFill="1" applyBorder="1" applyAlignment="1">
      <alignment horizontal="center"/>
    </xf>
    <xf numFmtId="164" fontId="101" fillId="0" borderId="0" xfId="0" applyFont="1" applyFill="1" applyBorder="1" applyAlignment="1">
      <alignment horizontal="center" vertical="center"/>
    </xf>
    <xf numFmtId="164" fontId="0" fillId="0" borderId="0" xfId="0" applyFill="1" applyAlignment="1">
      <alignment horizontal="center"/>
    </xf>
    <xf numFmtId="164" fontId="23" fillId="0" borderId="0" xfId="0" applyFont="1" applyFill="1" applyAlignment="1">
      <alignment horizontal="center"/>
    </xf>
    <xf numFmtId="164" fontId="100" fillId="0" borderId="0" xfId="1" applyFont="1" applyFill="1" applyBorder="1" applyAlignment="1" applyProtection="1">
      <alignment horizontal="center"/>
    </xf>
    <xf numFmtId="1" fontId="63" fillId="12" borderId="16" xfId="0" applyNumberFormat="1" applyFont="1" applyFill="1" applyBorder="1" applyAlignment="1">
      <alignment horizontal="center"/>
    </xf>
    <xf numFmtId="164" fontId="27" fillId="12" borderId="18" xfId="0" applyFont="1" applyFill="1" applyBorder="1" applyAlignment="1">
      <alignment horizontal="center"/>
    </xf>
    <xf numFmtId="1" fontId="41" fillId="0" borderId="0" xfId="0" applyNumberFormat="1" applyFont="1" applyFill="1" applyAlignment="1">
      <alignment horizontal="center"/>
    </xf>
    <xf numFmtId="164" fontId="101" fillId="2" borderId="0" xfId="0" applyFont="1" applyFill="1" applyBorder="1" applyAlignment="1">
      <alignment horizontal="center"/>
    </xf>
    <xf numFmtId="164" fontId="101" fillId="2" borderId="0" xfId="0" applyFont="1" applyFill="1" applyBorder="1" applyAlignment="1">
      <alignment horizontal="center" vertical="center"/>
    </xf>
    <xf numFmtId="164" fontId="101" fillId="2" borderId="0" xfId="0" applyFont="1" applyFill="1" applyAlignment="1">
      <alignment horizontal="center"/>
    </xf>
    <xf numFmtId="164" fontId="101" fillId="0" borderId="0" xfId="0" applyFont="1" applyAlignment="1">
      <alignment horizontal="center"/>
    </xf>
    <xf numFmtId="164" fontId="20" fillId="12" borderId="17" xfId="0" applyFont="1" applyFill="1" applyBorder="1" applyAlignment="1"/>
    <xf numFmtId="1" fontId="63" fillId="12" borderId="16" xfId="0" applyNumberFormat="1" applyFont="1" applyFill="1" applyBorder="1" applyAlignment="1">
      <alignment horizontal="right"/>
    </xf>
    <xf numFmtId="0" fontId="63" fillId="12" borderId="16" xfId="0" applyNumberFormat="1" applyFont="1" applyFill="1" applyBorder="1" applyAlignment="1">
      <alignment horizontal="right"/>
    </xf>
    <xf numFmtId="164" fontId="0" fillId="18" borderId="0" xfId="0" applyFill="1"/>
    <xf numFmtId="164" fontId="98" fillId="18" borderId="0" xfId="1" applyFont="1" applyFill="1" applyBorder="1" applyAlignment="1" applyProtection="1">
      <alignment vertical="center"/>
    </xf>
    <xf numFmtId="164" fontId="103" fillId="0" borderId="0" xfId="1" applyFont="1" applyFill="1" applyBorder="1" applyAlignment="1" applyProtection="1">
      <alignment horizontal="center" vertical="center"/>
    </xf>
    <xf numFmtId="164" fontId="104" fillId="0" borderId="0" xfId="0" applyFont="1" applyFill="1" applyAlignment="1">
      <alignment horizontal="center"/>
    </xf>
    <xf numFmtId="164" fontId="105" fillId="0" borderId="0" xfId="0" applyFont="1" applyFill="1" applyBorder="1" applyAlignment="1" applyProtection="1">
      <alignment horizontal="center" vertical="center" wrapText="1"/>
    </xf>
    <xf numFmtId="164" fontId="105" fillId="0" borderId="0" xfId="0" applyFont="1" applyFill="1" applyBorder="1" applyAlignment="1" applyProtection="1">
      <alignment horizontal="center" vertical="top" wrapText="1"/>
    </xf>
    <xf numFmtId="164" fontId="106" fillId="0" borderId="0" xfId="0" applyFont="1" applyFill="1" applyAlignment="1">
      <alignment horizontal="center"/>
    </xf>
    <xf numFmtId="164" fontId="104" fillId="0" borderId="0" xfId="0" applyFont="1" applyFill="1" applyAlignment="1">
      <alignment horizontal="center" vertical="center"/>
    </xf>
    <xf numFmtId="164" fontId="104" fillId="0" borderId="0" xfId="0" applyFont="1" applyAlignment="1">
      <alignment horizontal="center"/>
    </xf>
    <xf numFmtId="164" fontId="103" fillId="0" borderId="0" xfId="1" applyFont="1" applyFill="1" applyBorder="1" applyAlignment="1" applyProtection="1">
      <alignment horizontal="center"/>
    </xf>
    <xf numFmtId="164" fontId="104" fillId="0" borderId="0" xfId="0" applyFont="1" applyFill="1" applyBorder="1" applyAlignment="1">
      <alignment horizontal="center"/>
    </xf>
    <xf numFmtId="164" fontId="104" fillId="0" borderId="0" xfId="0" applyFont="1" applyFill="1" applyBorder="1" applyAlignment="1">
      <alignment horizontal="center" vertical="center"/>
    </xf>
    <xf numFmtId="164" fontId="20" fillId="12" borderId="17" xfId="0" applyFont="1" applyFill="1" applyBorder="1" applyAlignment="1">
      <alignment horizontal="left"/>
    </xf>
    <xf numFmtId="164" fontId="0" fillId="18" borderId="28" xfId="0" applyFill="1" applyBorder="1"/>
    <xf numFmtId="1" fontId="19" fillId="0" borderId="0" xfId="0" applyNumberFormat="1" applyFont="1" applyFill="1" applyBorder="1" applyAlignment="1">
      <alignment horizontal="left" wrapText="1" indent="1"/>
    </xf>
    <xf numFmtId="164" fontId="69" fillId="0" borderId="0" xfId="0" applyFont="1" applyFill="1" applyAlignment="1">
      <alignment horizontal="left"/>
    </xf>
    <xf numFmtId="164" fontId="103" fillId="0" borderId="0" xfId="1" applyFont="1" applyFill="1" applyBorder="1" applyAlignment="1" applyProtection="1">
      <alignment horizontal="center"/>
      <protection locked="0"/>
    </xf>
    <xf numFmtId="164" fontId="103" fillId="0" borderId="0" xfId="1" applyFont="1" applyFill="1" applyBorder="1" applyAlignment="1" applyProtection="1">
      <alignment horizontal="center" vertical="center"/>
      <protection locked="0"/>
    </xf>
    <xf numFmtId="3" fontId="108" fillId="0" borderId="4" xfId="0" applyNumberFormat="1" applyFont="1" applyFill="1" applyBorder="1" applyAlignment="1">
      <alignment horizontal="left" vertical="top"/>
    </xf>
    <xf numFmtId="164" fontId="108" fillId="0" borderId="4" xfId="0" applyFont="1" applyFill="1" applyBorder="1" applyAlignment="1">
      <alignment vertical="top"/>
    </xf>
    <xf numFmtId="1" fontId="23" fillId="0" borderId="4" xfId="0" applyNumberFormat="1" applyFont="1" applyFill="1" applyBorder="1" applyAlignment="1">
      <alignment horizontal="left" vertical="top"/>
    </xf>
    <xf numFmtId="3" fontId="23" fillId="0" borderId="4" xfId="0" applyNumberFormat="1" applyFont="1" applyFill="1" applyBorder="1" applyAlignment="1">
      <alignment horizontal="left" vertical="top"/>
    </xf>
    <xf numFmtId="3" fontId="9" fillId="0" borderId="5" xfId="0" applyNumberFormat="1" applyFont="1" applyFill="1" applyBorder="1" applyAlignment="1">
      <alignment horizontal="left" vertical="top"/>
    </xf>
    <xf numFmtId="164" fontId="69" fillId="0" borderId="0" xfId="0" applyFont="1" applyFill="1" applyBorder="1" applyAlignment="1"/>
    <xf numFmtId="164" fontId="23" fillId="0" borderId="30" xfId="0" applyFont="1" applyFill="1" applyBorder="1"/>
    <xf numFmtId="164" fontId="69" fillId="0" borderId="29" xfId="0" applyFont="1" applyFill="1" applyBorder="1" applyAlignment="1"/>
    <xf numFmtId="164" fontId="69" fillId="0" borderId="0" xfId="0" applyFont="1" applyFill="1" applyBorder="1" applyAlignment="1">
      <alignment horizontal="left"/>
    </xf>
    <xf numFmtId="164" fontId="69" fillId="0" borderId="29" xfId="0" applyFont="1" applyFill="1" applyBorder="1" applyAlignment="1">
      <alignment horizontal="left"/>
    </xf>
    <xf numFmtId="164" fontId="23" fillId="0" borderId="4" xfId="0" applyFont="1" applyFill="1" applyBorder="1" applyAlignment="1">
      <alignment horizontal="left"/>
    </xf>
    <xf numFmtId="164" fontId="37" fillId="2" borderId="9" xfId="0" applyFont="1" applyFill="1" applyBorder="1" applyAlignment="1">
      <alignment horizontal="right" vertical="center"/>
    </xf>
    <xf numFmtId="164" fontId="70" fillId="0" borderId="0" xfId="0" applyFont="1" applyAlignment="1">
      <alignment horizontal="left" wrapText="1" indent="4"/>
    </xf>
    <xf numFmtId="164" fontId="31" fillId="2" borderId="12" xfId="0" applyFont="1" applyFill="1" applyBorder="1" applyAlignment="1" applyProtection="1">
      <alignment horizontal="left"/>
    </xf>
    <xf numFmtId="164" fontId="44" fillId="2" borderId="0" xfId="0" applyFont="1" applyFill="1" applyAlignment="1">
      <alignment vertical="center" wrapText="1"/>
    </xf>
    <xf numFmtId="164" fontId="20" fillId="2" borderId="0" xfId="0" applyFont="1" applyFill="1" applyBorder="1" applyAlignment="1">
      <alignment horizontal="left"/>
    </xf>
    <xf numFmtId="164" fontId="4" fillId="15" borderId="0" xfId="0" applyFont="1" applyFill="1" applyBorder="1" applyAlignment="1">
      <alignment wrapText="1"/>
    </xf>
    <xf numFmtId="164" fontId="18" fillId="2" borderId="0" xfId="0" applyFont="1" applyFill="1" applyBorder="1" applyAlignment="1"/>
    <xf numFmtId="164" fontId="4" fillId="2" borderId="8" xfId="0" applyFont="1" applyFill="1" applyBorder="1" applyAlignment="1" applyProtection="1">
      <alignment vertical="center" wrapText="1"/>
    </xf>
    <xf numFmtId="164" fontId="79" fillId="0" borderId="0" xfId="0" applyFont="1" applyBorder="1"/>
    <xf numFmtId="164" fontId="77" fillId="2" borderId="0" xfId="0" applyFont="1" applyFill="1" applyBorder="1" applyAlignment="1">
      <alignment vertical="center"/>
    </xf>
    <xf numFmtId="167" fontId="37" fillId="2" borderId="0" xfId="12" applyNumberFormat="1" applyFont="1" applyFill="1" applyAlignment="1">
      <alignment horizontal="right" vertical="center" wrapText="1"/>
    </xf>
    <xf numFmtId="166" fontId="28" fillId="2" borderId="0" xfId="0" applyNumberFormat="1" applyFont="1" applyFill="1" applyBorder="1" applyAlignment="1">
      <alignment horizontal="right" vertical="top" wrapText="1"/>
    </xf>
    <xf numFmtId="164" fontId="37" fillId="2" borderId="0" xfId="0" applyFont="1" applyFill="1" applyBorder="1" applyAlignment="1">
      <alignment horizontal="left" vertical="center" indent="12"/>
    </xf>
    <xf numFmtId="1" fontId="61" fillId="2" borderId="32" xfId="0" applyNumberFormat="1" applyFont="1" applyFill="1" applyBorder="1" applyAlignment="1">
      <alignment horizontal="right" vertical="center"/>
    </xf>
    <xf numFmtId="164" fontId="40" fillId="2" borderId="33" xfId="0" applyFont="1" applyFill="1" applyBorder="1" applyAlignment="1">
      <alignment horizontal="right" vertical="top"/>
    </xf>
    <xf numFmtId="164" fontId="0" fillId="2" borderId="33" xfId="0" applyFill="1" applyBorder="1"/>
    <xf numFmtId="164" fontId="4" fillId="2" borderId="34" xfId="0" applyFont="1" applyFill="1" applyBorder="1" applyAlignment="1">
      <alignment vertical="center"/>
    </xf>
    <xf numFmtId="1" fontId="61" fillId="2" borderId="35" xfId="0" applyNumberFormat="1" applyFont="1" applyFill="1" applyBorder="1" applyAlignment="1">
      <alignment horizontal="right"/>
    </xf>
    <xf numFmtId="164" fontId="99" fillId="2" borderId="36" xfId="1" applyFont="1" applyFill="1" applyBorder="1" applyAlignment="1" applyProtection="1"/>
    <xf numFmtId="164" fontId="4" fillId="2" borderId="36" xfId="0" applyFont="1" applyFill="1" applyBorder="1" applyAlignment="1"/>
    <xf numFmtId="164" fontId="0" fillId="2" borderId="36" xfId="0" applyFill="1" applyBorder="1"/>
    <xf numFmtId="164" fontId="4" fillId="2" borderId="37" xfId="0" applyFont="1" applyFill="1" applyBorder="1" applyAlignment="1"/>
    <xf numFmtId="1" fontId="75" fillId="2" borderId="35" xfId="0" applyNumberFormat="1" applyFont="1" applyFill="1" applyBorder="1" applyAlignment="1">
      <alignment horizontal="right"/>
    </xf>
    <xf numFmtId="164" fontId="78" fillId="2" borderId="36" xfId="0" applyFont="1" applyFill="1" applyBorder="1" applyAlignment="1"/>
    <xf numFmtId="164" fontId="79" fillId="2" borderId="36" xfId="0" applyFont="1" applyFill="1" applyBorder="1"/>
    <xf numFmtId="164" fontId="78" fillId="2" borderId="37" xfId="0" applyFont="1" applyFill="1" applyBorder="1" applyAlignment="1"/>
    <xf numFmtId="164" fontId="0" fillId="2" borderId="32" xfId="0" applyFill="1" applyBorder="1"/>
    <xf numFmtId="164" fontId="0" fillId="2" borderId="38" xfId="0" applyFill="1" applyBorder="1"/>
    <xf numFmtId="164" fontId="0" fillId="2" borderId="34" xfId="0" applyFill="1" applyBorder="1"/>
    <xf numFmtId="164" fontId="80" fillId="2" borderId="35" xfId="0" applyFont="1" applyFill="1" applyBorder="1" applyAlignment="1"/>
    <xf numFmtId="164" fontId="31" fillId="2" borderId="2" xfId="0" applyFont="1" applyFill="1" applyBorder="1" applyAlignment="1" applyProtection="1">
      <alignment horizontal="left"/>
    </xf>
    <xf numFmtId="164" fontId="102" fillId="2" borderId="0" xfId="0" applyFont="1" applyFill="1" applyBorder="1" applyAlignment="1">
      <alignment horizontal="left" vertical="center"/>
    </xf>
    <xf numFmtId="0" fontId="109" fillId="2" borderId="12" xfId="1" applyNumberFormat="1" applyFont="1" applyFill="1" applyBorder="1" applyAlignment="1" applyProtection="1">
      <alignment horizontal="left" vertical="center"/>
    </xf>
    <xf numFmtId="0" fontId="109" fillId="2" borderId="4" xfId="1" applyNumberFormat="1" applyFont="1" applyFill="1" applyBorder="1" applyAlignment="1" applyProtection="1">
      <alignment horizontal="right" vertical="center"/>
    </xf>
    <xf numFmtId="164" fontId="111" fillId="0" borderId="0" xfId="0" applyFont="1"/>
    <xf numFmtId="164" fontId="8" fillId="4" borderId="0" xfId="0" applyFont="1" applyFill="1" applyBorder="1" applyAlignment="1" applyProtection="1">
      <alignment horizontal="left"/>
    </xf>
    <xf numFmtId="164" fontId="25" fillId="2" borderId="0" xfId="0" applyFont="1" applyFill="1" applyBorder="1" applyAlignment="1"/>
    <xf numFmtId="164" fontId="8" fillId="4" borderId="0" xfId="0" applyFont="1" applyFill="1" applyBorder="1" applyAlignment="1" applyProtection="1"/>
    <xf numFmtId="164" fontId="24" fillId="4" borderId="0" xfId="0" applyFont="1" applyFill="1" applyBorder="1" applyAlignment="1" applyProtection="1"/>
    <xf numFmtId="0" fontId="109" fillId="2" borderId="7" xfId="1" applyNumberFormat="1" applyFont="1" applyFill="1" applyBorder="1" applyAlignment="1" applyProtection="1">
      <alignment horizontal="left" vertical="center"/>
      <protection locked="0"/>
    </xf>
    <xf numFmtId="0" fontId="109" fillId="2" borderId="4" xfId="1" applyNumberFormat="1" applyFont="1" applyFill="1" applyBorder="1" applyAlignment="1" applyProtection="1">
      <alignment horizontal="left" vertical="center"/>
    </xf>
    <xf numFmtId="164" fontId="23" fillId="2" borderId="32" xfId="0" applyFont="1" applyFill="1" applyBorder="1" applyAlignment="1">
      <alignment vertical="center"/>
    </xf>
    <xf numFmtId="164" fontId="31" fillId="2" borderId="33" xfId="0" applyFont="1" applyFill="1" applyBorder="1" applyAlignment="1">
      <alignment vertical="center" wrapText="1"/>
    </xf>
    <xf numFmtId="164" fontId="31" fillId="2" borderId="34" xfId="0" applyFont="1" applyFill="1" applyBorder="1" applyAlignment="1">
      <alignment vertical="center" wrapText="1"/>
    </xf>
    <xf numFmtId="1" fontId="61" fillId="0" borderId="8" xfId="0" applyNumberFormat="1" applyFont="1" applyFill="1" applyBorder="1" applyAlignment="1">
      <alignment horizontal="right"/>
    </xf>
    <xf numFmtId="164" fontId="99" fillId="0" borderId="0" xfId="1" applyFont="1" applyFill="1" applyBorder="1" applyAlignment="1" applyProtection="1"/>
    <xf numFmtId="164" fontId="95" fillId="0" borderId="0" xfId="1" applyFont="1" applyFill="1" applyBorder="1" applyAlignment="1" applyProtection="1"/>
    <xf numFmtId="1" fontId="61" fillId="0" borderId="8" xfId="0" applyNumberFormat="1" applyFont="1" applyFill="1" applyBorder="1" applyAlignment="1">
      <alignment horizontal="right" vertical="center"/>
    </xf>
    <xf numFmtId="1" fontId="74" fillId="0" borderId="8" xfId="0" applyNumberFormat="1" applyFont="1" applyFill="1" applyBorder="1" applyAlignment="1">
      <alignment horizontal="right"/>
    </xf>
    <xf numFmtId="164" fontId="31" fillId="0" borderId="2" xfId="0" applyFont="1" applyFill="1" applyBorder="1" applyAlignment="1">
      <alignment horizontal="left"/>
    </xf>
    <xf numFmtId="164" fontId="31" fillId="0" borderId="9" xfId="0" applyFont="1" applyFill="1" applyBorder="1" applyAlignment="1">
      <alignment horizontal="left"/>
    </xf>
    <xf numFmtId="0" fontId="18" fillId="0" borderId="1" xfId="1" applyNumberFormat="1" applyFont="1" applyFill="1" applyBorder="1" applyAlignment="1" applyProtection="1">
      <alignment vertical="center"/>
      <protection locked="0"/>
    </xf>
    <xf numFmtId="0" fontId="18" fillId="0" borderId="4" xfId="0" applyNumberFormat="1" applyFont="1" applyFill="1" applyBorder="1" applyAlignment="1" applyProtection="1">
      <alignment horizontal="center" vertical="center"/>
      <protection locked="0"/>
    </xf>
    <xf numFmtId="1" fontId="49" fillId="0" borderId="1" xfId="0" applyNumberFormat="1" applyFont="1" applyFill="1" applyBorder="1" applyAlignment="1">
      <alignment horizontal="left" vertical="center"/>
    </xf>
    <xf numFmtId="1" fontId="50" fillId="0" borderId="2" xfId="0" applyNumberFormat="1" applyFont="1" applyFill="1" applyBorder="1" applyAlignment="1">
      <alignment horizontal="left" vertical="center"/>
    </xf>
    <xf numFmtId="1" fontId="51" fillId="0" borderId="2" xfId="0" applyNumberFormat="1" applyFont="1" applyFill="1" applyBorder="1" applyAlignment="1">
      <alignment horizontal="left" vertical="center"/>
    </xf>
    <xf numFmtId="1" fontId="55" fillId="0" borderId="2" xfId="0" applyNumberFormat="1" applyFont="1" applyFill="1" applyBorder="1" applyAlignment="1">
      <alignment horizontal="left" vertical="center"/>
    </xf>
    <xf numFmtId="1" fontId="56" fillId="0" borderId="2" xfId="0" applyNumberFormat="1" applyFont="1" applyFill="1" applyBorder="1" applyAlignment="1">
      <alignment horizontal="left" vertical="center"/>
    </xf>
    <xf numFmtId="1" fontId="57" fillId="0" borderId="2" xfId="0" applyNumberFormat="1" applyFont="1" applyFill="1" applyBorder="1" applyAlignment="1">
      <alignment horizontal="left" vertical="center"/>
    </xf>
    <xf numFmtId="1" fontId="58" fillId="0" borderId="3" xfId="0" applyNumberFormat="1" applyFont="1" applyFill="1" applyBorder="1" applyAlignment="1">
      <alignment horizontal="left" vertical="center"/>
    </xf>
    <xf numFmtId="1" fontId="61" fillId="0" borderId="32" xfId="0" applyNumberFormat="1" applyFont="1" applyFill="1" applyBorder="1" applyAlignment="1">
      <alignment horizontal="right" vertical="center"/>
    </xf>
    <xf numFmtId="164" fontId="40" fillId="0" borderId="33" xfId="0" applyFont="1" applyFill="1" applyBorder="1" applyAlignment="1">
      <alignment horizontal="right" vertical="top"/>
    </xf>
    <xf numFmtId="164" fontId="0" fillId="0" borderId="33" xfId="0" applyFill="1" applyBorder="1"/>
    <xf numFmtId="164" fontId="4" fillId="0" borderId="34" xfId="0" applyFont="1" applyFill="1" applyBorder="1" applyAlignment="1">
      <alignment vertical="center"/>
    </xf>
    <xf numFmtId="164" fontId="4" fillId="0" borderId="10" xfId="0" applyFont="1" applyFill="1" applyBorder="1" applyAlignment="1"/>
    <xf numFmtId="164" fontId="4" fillId="0" borderId="10" xfId="0" applyFont="1" applyFill="1" applyBorder="1" applyAlignment="1">
      <alignment vertical="center"/>
    </xf>
    <xf numFmtId="164" fontId="0" fillId="0" borderId="32" xfId="0" applyFill="1" applyBorder="1"/>
    <xf numFmtId="164" fontId="0" fillId="0" borderId="38" xfId="0" applyFill="1" applyBorder="1"/>
    <xf numFmtId="164" fontId="0" fillId="0" borderId="34" xfId="0" applyFill="1" applyBorder="1"/>
    <xf numFmtId="0" fontId="4" fillId="2" borderId="33" xfId="0" applyNumberFormat="1" applyFont="1" applyFill="1" applyBorder="1" applyAlignment="1" applyProtection="1">
      <alignment vertical="center" wrapText="1"/>
    </xf>
    <xf numFmtId="164" fontId="0" fillId="0" borderId="0" xfId="0"/>
    <xf numFmtId="164" fontId="0" fillId="2" borderId="0" xfId="0" applyFill="1"/>
    <xf numFmtId="164" fontId="0" fillId="2" borderId="0" xfId="0" applyFill="1" applyBorder="1"/>
    <xf numFmtId="164" fontId="0" fillId="0" borderId="0" xfId="0" applyFill="1"/>
    <xf numFmtId="164" fontId="4" fillId="2" borderId="0" xfId="0" applyFont="1" applyFill="1" applyBorder="1" applyAlignment="1">
      <alignment wrapText="1"/>
    </xf>
    <xf numFmtId="164" fontId="0" fillId="0" borderId="0" xfId="0" applyFill="1" applyAlignment="1">
      <alignment vertical="center"/>
    </xf>
    <xf numFmtId="164" fontId="31" fillId="2" borderId="0" xfId="0" applyFont="1" applyFill="1" applyBorder="1" applyAlignment="1">
      <alignment horizontal="left" indent="3"/>
    </xf>
    <xf numFmtId="164" fontId="0" fillId="18" borderId="0" xfId="0" applyFill="1" applyAlignment="1">
      <alignment vertical="center"/>
    </xf>
    <xf numFmtId="1" fontId="9" fillId="0" borderId="0" xfId="0" applyNumberFormat="1" applyFont="1" applyFill="1" applyBorder="1" applyAlignment="1">
      <alignment horizontal="left" vertical="center"/>
    </xf>
    <xf numFmtId="164" fontId="31" fillId="2" borderId="2" xfId="0" applyFont="1" applyFill="1" applyBorder="1" applyAlignment="1">
      <alignment horizontal="left" indent="3"/>
    </xf>
    <xf numFmtId="164" fontId="31" fillId="2" borderId="12" xfId="0" applyFont="1" applyFill="1" applyBorder="1" applyAlignment="1">
      <alignment horizontal="left" indent="3"/>
    </xf>
    <xf numFmtId="164" fontId="0" fillId="0" borderId="0" xfId="0" applyAlignment="1">
      <alignment horizontal="center" vertical="center"/>
    </xf>
    <xf numFmtId="164" fontId="99" fillId="2" borderId="0" xfId="1" applyFont="1" applyFill="1" applyBorder="1" applyAlignment="1" applyProtection="1">
      <protection locked="0"/>
    </xf>
    <xf numFmtId="164" fontId="31" fillId="2" borderId="12" xfId="0" applyFont="1" applyFill="1" applyBorder="1" applyAlignment="1" applyProtection="1">
      <alignment horizontal="left" indent="3"/>
    </xf>
    <xf numFmtId="164" fontId="47" fillId="15" borderId="0" xfId="0" applyFont="1" applyFill="1" applyBorder="1" applyAlignment="1">
      <alignment horizontal="left" wrapText="1" indent="1"/>
    </xf>
    <xf numFmtId="49" fontId="4" fillId="0" borderId="4" xfId="0" applyNumberFormat="1" applyFont="1" applyBorder="1" applyAlignment="1" applyProtection="1">
      <alignment horizontal="left" vertical="center" indent="1"/>
      <protection locked="0"/>
    </xf>
    <xf numFmtId="164" fontId="9" fillId="0" borderId="0" xfId="0" applyFont="1" applyFill="1" applyBorder="1" applyAlignment="1">
      <alignment vertical="top" wrapText="1"/>
    </xf>
    <xf numFmtId="1" fontId="23" fillId="0" borderId="4" xfId="0" applyNumberFormat="1" applyFont="1" applyFill="1" applyBorder="1"/>
    <xf numFmtId="1" fontId="9" fillId="0" borderId="0" xfId="0" applyNumberFormat="1" applyFont="1" applyFill="1" applyBorder="1" applyAlignment="1">
      <alignment vertical="top" wrapText="1"/>
    </xf>
    <xf numFmtId="1" fontId="23" fillId="0" borderId="4" xfId="0" applyNumberFormat="1" applyFont="1" applyFill="1" applyBorder="1" applyAlignment="1">
      <alignment horizontal="center" vertical="center"/>
    </xf>
    <xf numFmtId="1" fontId="84" fillId="2" borderId="0" xfId="0" applyNumberFormat="1" applyFont="1" applyFill="1" applyBorder="1" applyAlignment="1" applyProtection="1">
      <alignment horizontal="left" vertical="top"/>
    </xf>
    <xf numFmtId="1" fontId="85" fillId="2" borderId="0" xfId="0" applyNumberFormat="1" applyFont="1" applyFill="1" applyBorder="1" applyAlignment="1" applyProtection="1">
      <alignment horizontal="left" vertical="top"/>
    </xf>
    <xf numFmtId="1" fontId="86" fillId="2" borderId="0" xfId="0" applyNumberFormat="1" applyFont="1" applyFill="1" applyBorder="1" applyAlignment="1" applyProtection="1">
      <alignment horizontal="left" vertical="top"/>
    </xf>
    <xf numFmtId="1" fontId="81" fillId="2" borderId="0" xfId="0" applyNumberFormat="1" applyFont="1" applyFill="1" applyBorder="1" applyAlignment="1" applyProtection="1">
      <alignment horizontal="left" vertical="top"/>
    </xf>
    <xf numFmtId="1" fontId="82" fillId="2" borderId="0" xfId="0" applyNumberFormat="1" applyFont="1" applyFill="1" applyBorder="1" applyAlignment="1" applyProtection="1">
      <alignment horizontal="left" vertical="top"/>
    </xf>
    <xf numFmtId="1" fontId="83" fillId="2" borderId="0" xfId="0" applyNumberFormat="1" applyFont="1" applyFill="1" applyBorder="1" applyAlignment="1" applyProtection="1">
      <alignment horizontal="left" vertical="top"/>
    </xf>
    <xf numFmtId="1" fontId="87" fillId="2" borderId="0" xfId="0" applyNumberFormat="1" applyFont="1" applyFill="1" applyBorder="1" applyAlignment="1" applyProtection="1">
      <alignment horizontal="left" vertical="top"/>
    </xf>
    <xf numFmtId="1" fontId="88" fillId="2" borderId="0" xfId="0" applyNumberFormat="1" applyFont="1" applyFill="1" applyBorder="1" applyAlignment="1" applyProtection="1">
      <alignment horizontal="left" vertical="top"/>
    </xf>
    <xf numFmtId="1" fontId="89" fillId="2" borderId="0" xfId="0" applyNumberFormat="1" applyFont="1" applyFill="1" applyBorder="1" applyAlignment="1" applyProtection="1">
      <alignment horizontal="left" vertical="top"/>
    </xf>
    <xf numFmtId="1" fontId="90" fillId="2" borderId="0" xfId="0" applyNumberFormat="1" applyFont="1" applyFill="1" applyBorder="1" applyAlignment="1" applyProtection="1">
      <alignment horizontal="left" vertical="top"/>
    </xf>
    <xf numFmtId="164" fontId="0" fillId="0" borderId="0" xfId="0"/>
    <xf numFmtId="0" fontId="18" fillId="2" borderId="1" xfId="1" applyNumberFormat="1" applyFont="1" applyFill="1" applyBorder="1" applyAlignment="1" applyProtection="1">
      <alignment horizontal="left" vertical="center" indent="1"/>
      <protection locked="0"/>
    </xf>
    <xf numFmtId="164" fontId="4" fillId="15" borderId="0" xfId="0" applyFont="1" applyFill="1" applyBorder="1" applyAlignment="1">
      <alignment wrapText="1"/>
    </xf>
    <xf numFmtId="164" fontId="9" fillId="0" borderId="0" xfId="0" applyFont="1" applyFill="1" applyBorder="1" applyAlignment="1">
      <alignment horizontal="left" vertical="top" wrapText="1"/>
    </xf>
    <xf numFmtId="164" fontId="31" fillId="2" borderId="2" xfId="0" applyFont="1" applyFill="1" applyBorder="1" applyAlignment="1" applyProtection="1">
      <alignment horizontal="left"/>
    </xf>
    <xf numFmtId="164" fontId="0" fillId="2" borderId="8" xfId="0" applyFill="1" applyBorder="1"/>
    <xf numFmtId="164" fontId="0" fillId="2" borderId="10" xfId="0" applyFill="1" applyBorder="1"/>
    <xf numFmtId="1" fontId="50" fillId="2" borderId="0" xfId="0" applyNumberFormat="1" applyFont="1" applyFill="1" applyBorder="1" applyAlignment="1" applyProtection="1">
      <alignment horizontal="left" vertical="top"/>
    </xf>
    <xf numFmtId="1" fontId="51" fillId="2" borderId="0" xfId="0" applyNumberFormat="1" applyFont="1" applyFill="1" applyBorder="1" applyAlignment="1" applyProtection="1">
      <alignment horizontal="left" vertical="top"/>
    </xf>
    <xf numFmtId="1" fontId="52" fillId="2" borderId="0" xfId="0" applyNumberFormat="1" applyFont="1" applyFill="1" applyBorder="1" applyAlignment="1" applyProtection="1">
      <alignment horizontal="left" vertical="top"/>
    </xf>
    <xf numFmtId="1" fontId="53" fillId="2" borderId="0" xfId="0" applyNumberFormat="1" applyFont="1" applyFill="1" applyBorder="1" applyAlignment="1" applyProtection="1">
      <alignment horizontal="left" vertical="top"/>
    </xf>
    <xf numFmtId="1" fontId="54" fillId="2" borderId="0" xfId="0" applyNumberFormat="1" applyFont="1" applyFill="1" applyBorder="1" applyAlignment="1" applyProtection="1">
      <alignment horizontal="left" vertical="top"/>
    </xf>
    <xf numFmtId="1" fontId="55" fillId="2" borderId="0" xfId="0" applyNumberFormat="1" applyFont="1" applyFill="1" applyBorder="1" applyAlignment="1" applyProtection="1">
      <alignment horizontal="left" vertical="top"/>
    </xf>
    <xf numFmtId="1" fontId="56" fillId="2" borderId="0" xfId="0" applyNumberFormat="1" applyFont="1" applyFill="1" applyBorder="1" applyAlignment="1" applyProtection="1">
      <alignment horizontal="left" vertical="top"/>
    </xf>
    <xf numFmtId="1" fontId="57" fillId="2" borderId="0" xfId="0" applyNumberFormat="1" applyFont="1" applyFill="1" applyBorder="1" applyAlignment="1" applyProtection="1">
      <alignment horizontal="left" vertical="top"/>
    </xf>
    <xf numFmtId="1" fontId="58" fillId="2" borderId="0" xfId="0" applyNumberFormat="1" applyFont="1" applyFill="1" applyBorder="1" applyAlignment="1" applyProtection="1">
      <alignment horizontal="left" vertical="top"/>
    </xf>
    <xf numFmtId="164" fontId="40" fillId="2" borderId="9" xfId="0" applyFont="1" applyFill="1" applyBorder="1" applyAlignment="1">
      <alignment horizontal="right" vertical="top"/>
    </xf>
    <xf numFmtId="164" fontId="68" fillId="2" borderId="8" xfId="0" applyFont="1" applyFill="1" applyBorder="1" applyAlignment="1"/>
    <xf numFmtId="164" fontId="40" fillId="2" borderId="38" xfId="0" applyFont="1" applyFill="1" applyBorder="1" applyAlignment="1">
      <alignment horizontal="right" vertical="top"/>
    </xf>
    <xf numFmtId="0" fontId="4" fillId="2" borderId="33" xfId="0" applyNumberFormat="1" applyFont="1" applyFill="1" applyBorder="1" applyAlignment="1" applyProtection="1">
      <alignment horizontal="left" vertical="center" wrapText="1"/>
    </xf>
    <xf numFmtId="164" fontId="68" fillId="2" borderId="35" xfId="0" applyFont="1" applyFill="1" applyBorder="1" applyAlignment="1"/>
    <xf numFmtId="164" fontId="59" fillId="2" borderId="0" xfId="0" applyFont="1" applyFill="1" applyBorder="1" applyAlignment="1">
      <alignment vertical="center"/>
    </xf>
    <xf numFmtId="164" fontId="80" fillId="2" borderId="8" xfId="0" applyFont="1" applyFill="1" applyBorder="1" applyAlignment="1"/>
    <xf numFmtId="164" fontId="22" fillId="2" borderId="0" xfId="0" applyFont="1" applyFill="1" applyBorder="1" applyAlignment="1"/>
    <xf numFmtId="1" fontId="71" fillId="2" borderId="8" xfId="0" applyNumberFormat="1" applyFont="1" applyFill="1" applyBorder="1" applyAlignment="1" applyProtection="1">
      <alignment horizontal="right" vertical="center"/>
    </xf>
    <xf numFmtId="0" fontId="22" fillId="2" borderId="12" xfId="0" applyNumberFormat="1" applyFont="1" applyFill="1" applyBorder="1" applyAlignment="1" applyProtection="1">
      <alignment horizontal="left" vertical="center" wrapText="1"/>
    </xf>
    <xf numFmtId="164" fontId="22" fillId="2" borderId="10" xfId="0" applyFont="1" applyFill="1" applyBorder="1" applyAlignment="1" applyProtection="1">
      <alignment vertical="center"/>
    </xf>
    <xf numFmtId="164" fontId="0" fillId="0" borderId="36" xfId="0" applyBorder="1"/>
    <xf numFmtId="164" fontId="0" fillId="0" borderId="0" xfId="0"/>
    <xf numFmtId="0" fontId="18" fillId="2" borderId="1" xfId="1" applyNumberFormat="1" applyFont="1" applyFill="1" applyBorder="1" applyAlignment="1" applyProtection="1">
      <alignment horizontal="left" vertical="center" indent="1"/>
      <protection locked="0"/>
    </xf>
    <xf numFmtId="3" fontId="9" fillId="0" borderId="0" xfId="0" applyNumberFormat="1" applyFont="1" applyFill="1" applyBorder="1" applyAlignment="1">
      <alignment horizontal="left" vertical="top"/>
    </xf>
    <xf numFmtId="164" fontId="31" fillId="15" borderId="0" xfId="0" applyFont="1" applyFill="1" applyBorder="1" applyAlignment="1">
      <alignment horizontal="left" wrapText="1" indent="3"/>
    </xf>
    <xf numFmtId="164" fontId="23" fillId="0" borderId="5" xfId="0" applyFont="1" applyFill="1" applyBorder="1" applyAlignment="1">
      <alignment vertical="top"/>
    </xf>
    <xf numFmtId="1" fontId="23" fillId="0" borderId="4" xfId="0" applyNumberFormat="1" applyFont="1" applyFill="1" applyBorder="1" applyAlignment="1">
      <alignment vertical="top"/>
    </xf>
    <xf numFmtId="164" fontId="31" fillId="2" borderId="2" xfId="0" applyFont="1" applyFill="1" applyBorder="1" applyAlignment="1" applyProtection="1">
      <alignment horizontal="left" indent="3"/>
    </xf>
    <xf numFmtId="3" fontId="23" fillId="0" borderId="0" xfId="0" applyNumberFormat="1" applyFont="1" applyFill="1" applyBorder="1" applyAlignment="1">
      <alignment horizontal="left" vertical="top"/>
    </xf>
    <xf numFmtId="1" fontId="0" fillId="0" borderId="0" xfId="0" applyNumberFormat="1"/>
    <xf numFmtId="1" fontId="49" fillId="2" borderId="0" xfId="0" applyNumberFormat="1" applyFont="1" applyFill="1" applyBorder="1" applyAlignment="1" applyProtection="1">
      <alignment horizontal="left" vertical="top"/>
    </xf>
    <xf numFmtId="164" fontId="47" fillId="15" borderId="0" xfId="0" applyFont="1" applyFill="1" applyBorder="1" applyAlignment="1">
      <alignment horizontal="left" wrapText="1" indent="2"/>
    </xf>
    <xf numFmtId="164" fontId="31" fillId="0" borderId="12" xfId="0" applyFont="1" applyFill="1" applyBorder="1" applyAlignment="1">
      <alignment horizontal="left" indent="3"/>
    </xf>
    <xf numFmtId="164" fontId="31" fillId="0" borderId="2" xfId="0" applyFont="1" applyFill="1" applyBorder="1" applyAlignment="1">
      <alignment horizontal="left" indent="3"/>
    </xf>
    <xf numFmtId="164" fontId="4" fillId="2" borderId="4" xfId="0" applyFont="1" applyFill="1" applyBorder="1" applyAlignment="1" applyProtection="1">
      <alignment vertical="center"/>
      <protection locked="0"/>
    </xf>
    <xf numFmtId="164" fontId="47" fillId="15" borderId="0" xfId="0" applyFont="1" applyFill="1" applyBorder="1" applyAlignment="1">
      <alignment horizontal="left" wrapText="1" indent="3"/>
    </xf>
    <xf numFmtId="164" fontId="99" fillId="2" borderId="36" xfId="1" applyFont="1" applyFill="1" applyBorder="1" applyAlignment="1" applyProtection="1">
      <protection locked="0"/>
    </xf>
    <xf numFmtId="164" fontId="0" fillId="2" borderId="4" xfId="0" applyFont="1" applyFill="1" applyBorder="1" applyAlignment="1" applyProtection="1">
      <alignment horizontal="left" wrapText="1"/>
      <protection locked="0"/>
    </xf>
    <xf numFmtId="164" fontId="0" fillId="2" borderId="4" xfId="0" applyFont="1" applyFill="1" applyBorder="1" applyAlignment="1">
      <alignment horizontal="left" wrapText="1"/>
    </xf>
    <xf numFmtId="164" fontId="31" fillId="2" borderId="12" xfId="0" applyFont="1" applyFill="1" applyBorder="1" applyAlignment="1">
      <alignment horizontal="left" indent="1"/>
    </xf>
    <xf numFmtId="3" fontId="108" fillId="0" borderId="0" xfId="0" applyNumberFormat="1" applyFont="1" applyFill="1" applyBorder="1" applyAlignment="1">
      <alignment horizontal="left" vertical="top"/>
    </xf>
    <xf numFmtId="164" fontId="0" fillId="0" borderId="4" xfId="0" applyFont="1" applyFill="1" applyBorder="1" applyAlignment="1">
      <alignment horizontal="left" vertical="top"/>
    </xf>
    <xf numFmtId="1" fontId="9" fillId="0" borderId="40" xfId="0" applyNumberFormat="1" applyFont="1" applyFill="1" applyBorder="1" applyAlignment="1">
      <alignment horizontal="left" vertical="top"/>
    </xf>
    <xf numFmtId="164" fontId="99" fillId="2" borderId="36" xfId="1" applyFont="1" applyFill="1" applyBorder="1" applyAlignment="1" applyProtection="1"/>
    <xf numFmtId="1" fontId="113" fillId="2" borderId="8" xfId="0" applyNumberFormat="1" applyFont="1" applyFill="1" applyBorder="1" applyAlignment="1">
      <alignment horizontal="right" vertical="center"/>
    </xf>
    <xf numFmtId="1" fontId="113" fillId="2" borderId="8" xfId="0" applyNumberFormat="1" applyFont="1" applyFill="1" applyBorder="1" applyAlignment="1" applyProtection="1">
      <alignment horizontal="right" vertical="center"/>
    </xf>
    <xf numFmtId="1" fontId="113" fillId="2" borderId="8" xfId="0" applyNumberFormat="1" applyFont="1" applyFill="1" applyBorder="1" applyAlignment="1">
      <alignment horizontal="right"/>
    </xf>
    <xf numFmtId="1" fontId="114" fillId="2" borderId="8" xfId="0" applyNumberFormat="1" applyFont="1" applyFill="1" applyBorder="1" applyAlignment="1">
      <alignment horizontal="center" vertical="center"/>
    </xf>
    <xf numFmtId="1" fontId="65" fillId="2" borderId="8" xfId="0" applyNumberFormat="1" applyFont="1" applyFill="1" applyBorder="1" applyAlignment="1">
      <alignment horizontal="center" vertical="center"/>
    </xf>
    <xf numFmtId="164" fontId="0" fillId="0" borderId="0" xfId="0"/>
    <xf numFmtId="164" fontId="112" fillId="2" borderId="0" xfId="0" applyFont="1" applyFill="1" applyBorder="1" applyAlignment="1">
      <alignment vertical="top" wrapText="1"/>
    </xf>
    <xf numFmtId="0" fontId="99" fillId="2" borderId="0" xfId="1" applyNumberFormat="1" applyFont="1" applyFill="1" applyBorder="1" applyAlignment="1" applyProtection="1">
      <protection locked="0"/>
    </xf>
    <xf numFmtId="0" fontId="99" fillId="0" borderId="0" xfId="1" applyNumberFormat="1" applyFont="1" applyFill="1" applyBorder="1" applyAlignment="1" applyProtection="1">
      <protection locked="0"/>
    </xf>
    <xf numFmtId="49" fontId="38" fillId="5" borderId="0" xfId="0" applyNumberFormat="1" applyFont="1" applyFill="1" applyBorder="1" applyAlignment="1">
      <alignment horizontal="left"/>
    </xf>
    <xf numFmtId="0" fontId="4" fillId="2" borderId="4" xfId="0" applyNumberFormat="1" applyFont="1" applyFill="1" applyBorder="1" applyAlignment="1" applyProtection="1">
      <alignment vertical="center"/>
      <protection locked="0"/>
    </xf>
    <xf numFmtId="0" fontId="0" fillId="0" borderId="0" xfId="0" applyNumberFormat="1"/>
    <xf numFmtId="164" fontId="0" fillId="0" borderId="0" xfId="0" applyAlignment="1">
      <alignment horizontal="center"/>
    </xf>
    <xf numFmtId="1" fontId="22" fillId="0" borderId="0" xfId="0" applyNumberFormat="1" applyFont="1"/>
    <xf numFmtId="9" fontId="22" fillId="0" borderId="0" xfId="0" applyNumberFormat="1" applyFont="1"/>
    <xf numFmtId="0" fontId="99" fillId="2" borderId="36" xfId="1" applyNumberFormat="1" applyFont="1" applyFill="1" applyBorder="1" applyAlignment="1" applyProtection="1">
      <protection locked="0"/>
    </xf>
    <xf numFmtId="164" fontId="37" fillId="2" borderId="0" xfId="0" applyFont="1" applyFill="1" applyBorder="1" applyAlignment="1">
      <alignment horizontal="right" vertical="center"/>
    </xf>
    <xf numFmtId="164" fontId="0" fillId="0" borderId="0" xfId="0" applyAlignment="1">
      <alignment horizontal="center" vertical="top"/>
    </xf>
    <xf numFmtId="0" fontId="0" fillId="0" borderId="0" xfId="0" applyNumberFormat="1" applyAlignment="1">
      <alignment vertical="top"/>
    </xf>
    <xf numFmtId="164" fontId="0" fillId="0" borderId="0" xfId="0" applyAlignment="1">
      <alignment horizontal="left" vertical="top"/>
    </xf>
    <xf numFmtId="1" fontId="0" fillId="0" borderId="0" xfId="0" applyNumberFormat="1" applyAlignment="1">
      <alignment horizontal="center" vertical="top"/>
    </xf>
    <xf numFmtId="0" fontId="0" fillId="0" borderId="0" xfId="0" applyNumberFormat="1" applyAlignment="1">
      <alignment horizontal="left" vertical="top"/>
    </xf>
    <xf numFmtId="2" fontId="116" fillId="22" borderId="0" xfId="0" applyNumberFormat="1" applyFont="1" applyFill="1" applyAlignment="1">
      <alignment horizontal="center" vertical="top"/>
    </xf>
    <xf numFmtId="2" fontId="117" fillId="19" borderId="0" xfId="0" applyNumberFormat="1" applyFont="1" applyFill="1" applyAlignment="1">
      <alignment horizontal="center" vertical="top"/>
    </xf>
    <xf numFmtId="2" fontId="30" fillId="23" borderId="0" xfId="0" applyNumberFormat="1" applyFont="1" applyFill="1" applyAlignment="1">
      <alignment horizontal="center" vertical="top"/>
    </xf>
    <xf numFmtId="2" fontId="115" fillId="20" borderId="0" xfId="0" applyNumberFormat="1" applyFont="1" applyFill="1" applyAlignment="1">
      <alignment horizontal="center" vertical="top"/>
    </xf>
    <xf numFmtId="2" fontId="118" fillId="21" borderId="0" xfId="0" applyNumberFormat="1" applyFont="1" applyFill="1" applyAlignment="1">
      <alignment horizontal="center" vertical="top"/>
    </xf>
    <xf numFmtId="0" fontId="4" fillId="0" borderId="4" xfId="0" applyNumberFormat="1" applyFont="1" applyBorder="1" applyAlignment="1">
      <alignment horizontal="left" vertical="top"/>
    </xf>
    <xf numFmtId="0" fontId="18" fillId="2" borderId="1" xfId="1" applyNumberFormat="1" applyFont="1" applyFill="1" applyBorder="1" applyAlignment="1" applyProtection="1">
      <alignment horizontal="left" vertical="top"/>
      <protection locked="0"/>
    </xf>
    <xf numFmtId="1" fontId="0" fillId="0" borderId="0" xfId="0" applyNumberFormat="1" applyAlignment="1">
      <alignment horizontal="center" vertical="center"/>
    </xf>
    <xf numFmtId="1" fontId="0" fillId="0" borderId="0" xfId="0" applyNumberFormat="1" applyAlignment="1">
      <alignment vertical="center"/>
    </xf>
    <xf numFmtId="164" fontId="0" fillId="2" borderId="0" xfId="0" applyFill="1" applyAlignment="1">
      <alignment horizontal="center" vertical="center"/>
    </xf>
    <xf numFmtId="164" fontId="0" fillId="0" borderId="0" xfId="0" applyAlignment="1" applyProtection="1">
      <alignment vertical="top"/>
      <protection locked="0"/>
    </xf>
    <xf numFmtId="164" fontId="0" fillId="0" borderId="0" xfId="0" applyAlignment="1" applyProtection="1">
      <alignment horizontal="center"/>
      <protection locked="0"/>
    </xf>
    <xf numFmtId="164" fontId="0" fillId="0" borderId="44" xfId="0" applyBorder="1" applyAlignment="1" applyProtection="1">
      <alignment horizontal="center" vertical="center"/>
      <protection locked="0"/>
    </xf>
    <xf numFmtId="164" fontId="0" fillId="0" borderId="43" xfId="0" applyBorder="1" applyAlignment="1" applyProtection="1">
      <alignment horizontal="center" vertical="center"/>
      <protection locked="0"/>
    </xf>
    <xf numFmtId="164" fontId="0" fillId="0" borderId="0" xfId="0" applyAlignment="1" applyProtection="1">
      <alignment horizontal="center" vertical="center"/>
      <protection locked="0"/>
    </xf>
    <xf numFmtId="164" fontId="30" fillId="0" borderId="0" xfId="0" applyFont="1" applyAlignment="1" applyProtection="1">
      <alignment horizontal="left" vertical="top" wrapText="1"/>
      <protection locked="0"/>
    </xf>
    <xf numFmtId="164" fontId="0" fillId="24" borderId="0" xfId="0" applyFill="1"/>
    <xf numFmtId="0" fontId="0" fillId="24" borderId="0" xfId="0" applyNumberFormat="1" applyFill="1"/>
    <xf numFmtId="164" fontId="0" fillId="24" borderId="0" xfId="0" applyFill="1" applyAlignment="1">
      <alignment horizontal="center"/>
    </xf>
    <xf numFmtId="164" fontId="0" fillId="24" borderId="0" xfId="0" applyFill="1" applyAlignment="1">
      <alignment horizontal="center" vertical="center"/>
    </xf>
    <xf numFmtId="164" fontId="0" fillId="24" borderId="43" xfId="0" applyFill="1" applyBorder="1" applyAlignment="1">
      <alignment horizontal="center" vertical="center"/>
    </xf>
    <xf numFmtId="164" fontId="66" fillId="24" borderId="0" xfId="0" applyFont="1" applyFill="1" applyAlignment="1">
      <alignment horizontal="center" vertical="top"/>
    </xf>
    <xf numFmtId="164" fontId="66" fillId="24" borderId="0" xfId="0" applyFont="1" applyFill="1" applyAlignment="1">
      <alignment vertical="top"/>
    </xf>
    <xf numFmtId="164" fontId="66" fillId="24" borderId="0" xfId="0" applyFont="1" applyFill="1" applyAlignment="1">
      <alignment horizontal="center" vertical="top" wrapText="1"/>
    </xf>
    <xf numFmtId="164" fontId="0" fillId="0" borderId="0" xfId="0"/>
    <xf numFmtId="164" fontId="0" fillId="0" borderId="0" xfId="0"/>
    <xf numFmtId="0" fontId="18" fillId="2" borderId="1" xfId="1" applyNumberFormat="1" applyFont="1" applyFill="1" applyBorder="1" applyAlignment="1" applyProtection="1">
      <alignment horizontal="left" vertical="center" indent="1"/>
      <protection locked="0"/>
    </xf>
    <xf numFmtId="164" fontId="2" fillId="2" borderId="4" xfId="1" applyFill="1" applyBorder="1" applyAlignment="1" applyProtection="1">
      <alignment horizontal="left" vertical="center"/>
      <protection locked="0"/>
    </xf>
    <xf numFmtId="169" fontId="0" fillId="7" borderId="0" xfId="0" applyNumberFormat="1" applyFill="1" applyAlignment="1">
      <alignment horizontal="center" wrapText="1"/>
    </xf>
    <xf numFmtId="1" fontId="0" fillId="7" borderId="0" xfId="0" applyNumberFormat="1" applyFill="1"/>
    <xf numFmtId="169" fontId="0" fillId="0" borderId="0" xfId="0" applyNumberFormat="1" applyAlignment="1">
      <alignment horizontal="center" vertical="center"/>
    </xf>
    <xf numFmtId="170" fontId="0" fillId="0" borderId="0" xfId="0" applyNumberFormat="1" applyAlignment="1">
      <alignment horizontal="center" vertical="center"/>
    </xf>
    <xf numFmtId="164" fontId="0" fillId="0" borderId="0" xfId="0" applyAlignment="1">
      <alignment horizontal="center" vertical="center" wrapText="1"/>
    </xf>
    <xf numFmtId="169" fontId="0" fillId="0" borderId="0" xfId="0" applyNumberFormat="1"/>
    <xf numFmtId="170" fontId="0" fillId="0" borderId="0" xfId="0" applyNumberFormat="1"/>
    <xf numFmtId="164" fontId="0" fillId="0" borderId="0" xfId="0" applyAlignment="1">
      <alignment wrapText="1"/>
    </xf>
    <xf numFmtId="164" fontId="2" fillId="0" borderId="4" xfId="1" applyBorder="1" applyAlignment="1" applyProtection="1"/>
    <xf numFmtId="164" fontId="2" fillId="2" borderId="4" xfId="1" applyFill="1" applyBorder="1" applyAlignment="1" applyProtection="1">
      <alignment horizontal="left" vertical="center"/>
    </xf>
    <xf numFmtId="164" fontId="0" fillId="0" borderId="0" xfId="0"/>
    <xf numFmtId="0" fontId="37" fillId="0" borderId="0" xfId="0" applyNumberFormat="1" applyFont="1" applyFill="1" applyBorder="1" applyAlignment="1">
      <alignment horizontal="left" vertical="center"/>
    </xf>
    <xf numFmtId="164" fontId="0" fillId="0" borderId="0" xfId="0"/>
    <xf numFmtId="164" fontId="0" fillId="2" borderId="0" xfId="0" applyFill="1" applyAlignment="1">
      <alignment wrapText="1"/>
    </xf>
    <xf numFmtId="164" fontId="0" fillId="0" borderId="0" xfId="0" applyAlignment="1">
      <alignment horizontal="left"/>
    </xf>
    <xf numFmtId="164" fontId="0" fillId="0" borderId="0" xfId="0"/>
    <xf numFmtId="164" fontId="0" fillId="0" borderId="0" xfId="0"/>
    <xf numFmtId="164" fontId="0" fillId="0" borderId="0" xfId="0" applyNumberFormat="1" applyAlignment="1">
      <alignment wrapText="1"/>
    </xf>
    <xf numFmtId="164" fontId="0" fillId="0" borderId="0" xfId="0"/>
    <xf numFmtId="164" fontId="0" fillId="0" borderId="0" xfId="0"/>
    <xf numFmtId="164" fontId="0" fillId="0" borderId="0" xfId="0"/>
    <xf numFmtId="164" fontId="0" fillId="0" borderId="0" xfId="0"/>
    <xf numFmtId="1" fontId="4" fillId="2" borderId="4" xfId="0" applyNumberFormat="1" applyFont="1" applyFill="1" applyBorder="1"/>
    <xf numFmtId="0" fontId="94" fillId="2" borderId="4" xfId="1" applyNumberFormat="1" applyFont="1" applyFill="1" applyBorder="1" applyAlignment="1" applyProtection="1">
      <alignment horizontal="left" vertical="center"/>
      <protection locked="0"/>
    </xf>
    <xf numFmtId="164" fontId="0" fillId="0" borderId="0" xfId="0"/>
    <xf numFmtId="169" fontId="25" fillId="0" borderId="0" xfId="0" applyNumberFormat="1" applyFont="1"/>
    <xf numFmtId="1" fontId="25" fillId="0" borderId="0" xfId="0" applyNumberFormat="1" applyFont="1" applyAlignment="1">
      <alignment horizontal="center"/>
    </xf>
    <xf numFmtId="170" fontId="25" fillId="0" borderId="0" xfId="0" applyNumberFormat="1" applyFont="1"/>
    <xf numFmtId="164" fontId="25" fillId="0" borderId="0" xfId="0" applyFont="1"/>
    <xf numFmtId="1" fontId="25" fillId="0" borderId="0" xfId="0" applyNumberFormat="1" applyFont="1"/>
    <xf numFmtId="164" fontId="25" fillId="0" borderId="0" xfId="0" applyFont="1" applyAlignment="1">
      <alignment wrapText="1"/>
    </xf>
    <xf numFmtId="164" fontId="25" fillId="0" borderId="0" xfId="0" applyNumberFormat="1" applyFont="1" applyAlignment="1">
      <alignment wrapText="1"/>
    </xf>
    <xf numFmtId="169" fontId="4" fillId="0" borderId="0" xfId="0" applyNumberFormat="1" applyFont="1"/>
    <xf numFmtId="1" fontId="4" fillId="0" borderId="0" xfId="0" applyNumberFormat="1" applyFont="1" applyAlignment="1">
      <alignment horizontal="center"/>
    </xf>
    <xf numFmtId="170" fontId="4" fillId="0" borderId="0" xfId="0" applyNumberFormat="1" applyFont="1"/>
    <xf numFmtId="1" fontId="4" fillId="0" borderId="0" xfId="0" applyNumberFormat="1" applyFont="1"/>
    <xf numFmtId="164" fontId="4" fillId="0" borderId="0" xfId="0" applyFont="1" applyAlignment="1">
      <alignment wrapText="1"/>
    </xf>
    <xf numFmtId="164" fontId="4" fillId="0" borderId="0" xfId="0" applyNumberFormat="1" applyFont="1" applyAlignment="1">
      <alignment wrapText="1"/>
    </xf>
    <xf numFmtId="164" fontId="25" fillId="0" borderId="0" xfId="0" applyFont="1" applyAlignment="1">
      <alignment horizontal="center"/>
    </xf>
    <xf numFmtId="0" fontId="18" fillId="2" borderId="1" xfId="1" applyNumberFormat="1" applyFont="1" applyFill="1" applyBorder="1" applyAlignment="1" applyProtection="1">
      <alignment horizontal="left" vertical="center" indent="1"/>
      <protection locked="0"/>
    </xf>
    <xf numFmtId="169" fontId="119" fillId="25" borderId="0" xfId="0" applyNumberFormat="1" applyFont="1" applyFill="1" applyAlignment="1">
      <alignment horizontal="center"/>
    </xf>
    <xf numFmtId="169" fontId="79" fillId="7" borderId="0" xfId="0" applyNumberFormat="1" applyFont="1" applyFill="1" applyAlignment="1">
      <alignment horizontal="left" indent="1"/>
    </xf>
    <xf numFmtId="1" fontId="73" fillId="2" borderId="8" xfId="0" applyNumberFormat="1" applyFont="1" applyFill="1" applyBorder="1" applyAlignment="1">
      <alignment horizontal="left"/>
    </xf>
    <xf numFmtId="1" fontId="73" fillId="2" borderId="0" xfId="0" applyNumberFormat="1" applyFont="1" applyFill="1" applyBorder="1" applyAlignment="1">
      <alignment horizontal="left"/>
    </xf>
    <xf numFmtId="168" fontId="73" fillId="0" borderId="12" xfId="0" applyNumberFormat="1" applyFont="1" applyBorder="1" applyAlignment="1">
      <alignment horizontal="right"/>
    </xf>
    <xf numFmtId="168" fontId="0" fillId="0" borderId="12" xfId="0" applyNumberFormat="1" applyBorder="1" applyAlignment="1">
      <alignment horizontal="right"/>
    </xf>
    <xf numFmtId="168" fontId="73" fillId="0" borderId="0" xfId="0" applyNumberFormat="1" applyFont="1" applyBorder="1" applyAlignment="1">
      <alignment horizontal="right"/>
    </xf>
    <xf numFmtId="168" fontId="73" fillId="0" borderId="9" xfId="0" applyNumberFormat="1" applyFont="1" applyBorder="1" applyAlignment="1">
      <alignment horizontal="right"/>
    </xf>
    <xf numFmtId="166" fontId="28" fillId="2" borderId="39" xfId="0" applyNumberFormat="1" applyFont="1" applyFill="1" applyBorder="1" applyAlignment="1">
      <alignment horizontal="right" vertical="top" wrapText="1"/>
    </xf>
    <xf numFmtId="164" fontId="70" fillId="0" borderId="12" xfId="0" applyFont="1" applyBorder="1" applyAlignment="1">
      <alignment horizontal="center"/>
    </xf>
    <xf numFmtId="1" fontId="73" fillId="2" borderId="1" xfId="0" applyNumberFormat="1" applyFont="1" applyFill="1" applyBorder="1" applyAlignment="1">
      <alignment horizontal="right"/>
    </xf>
    <xf numFmtId="1" fontId="73" fillId="2" borderId="2" xfId="0" applyNumberFormat="1" applyFont="1" applyFill="1" applyBorder="1" applyAlignment="1">
      <alignment horizontal="right"/>
    </xf>
    <xf numFmtId="1" fontId="73" fillId="2" borderId="3" xfId="0" applyNumberFormat="1" applyFont="1" applyFill="1" applyBorder="1" applyAlignment="1">
      <alignment horizontal="right"/>
    </xf>
    <xf numFmtId="167" fontId="37" fillId="2" borderId="9" xfId="12" applyNumberFormat="1" applyFont="1" applyFill="1" applyBorder="1" applyAlignment="1">
      <alignment horizontal="right" vertical="center" wrapText="1"/>
    </xf>
    <xf numFmtId="3" fontId="37" fillId="2" borderId="31" xfId="0" applyNumberFormat="1" applyFont="1" applyFill="1" applyBorder="1" applyAlignment="1">
      <alignment horizontal="right" vertical="center" wrapText="1"/>
    </xf>
    <xf numFmtId="1" fontId="73" fillId="0" borderId="1" xfId="0" applyNumberFormat="1" applyFont="1" applyBorder="1" applyAlignment="1">
      <alignment horizontal="right"/>
    </xf>
    <xf numFmtId="164" fontId="0" fillId="0" borderId="2" xfId="0" applyBorder="1"/>
    <xf numFmtId="164" fontId="0" fillId="0" borderId="3" xfId="0" applyBorder="1"/>
    <xf numFmtId="1" fontId="73" fillId="0" borderId="1" xfId="0" applyNumberFormat="1" applyFont="1" applyBorder="1" applyAlignment="1"/>
    <xf numFmtId="164" fontId="37" fillId="2" borderId="0" xfId="0" applyFont="1" applyFill="1" applyBorder="1" applyAlignment="1">
      <alignment horizontal="right" vertical="center"/>
    </xf>
    <xf numFmtId="164" fontId="77" fillId="2" borderId="0" xfId="0" applyFont="1" applyFill="1" applyBorder="1" applyAlignment="1">
      <alignment vertical="center"/>
    </xf>
    <xf numFmtId="164" fontId="0" fillId="0" borderId="0" xfId="0"/>
    <xf numFmtId="164" fontId="0" fillId="0" borderId="10" xfId="0" applyBorder="1"/>
    <xf numFmtId="164" fontId="93" fillId="2" borderId="0" xfId="0" applyFont="1" applyFill="1" applyAlignment="1">
      <alignment horizontal="right" vertical="top" wrapText="1"/>
    </xf>
    <xf numFmtId="164" fontId="28" fillId="11" borderId="14" xfId="0" applyFont="1" applyFill="1" applyBorder="1" applyAlignment="1">
      <alignment horizontal="left" indent="4"/>
    </xf>
    <xf numFmtId="164" fontId="20" fillId="2" borderId="0" xfId="0" applyFont="1" applyFill="1" applyBorder="1" applyAlignment="1">
      <alignment horizontal="left"/>
    </xf>
    <xf numFmtId="164" fontId="44" fillId="2" borderId="0" xfId="0" applyFont="1" applyFill="1" applyAlignment="1">
      <alignment horizontal="left" vertical="center" wrapText="1" indent="6"/>
    </xf>
    <xf numFmtId="164" fontId="93" fillId="2" borderId="0" xfId="0" applyFont="1" applyFill="1" applyAlignment="1">
      <alignment horizontal="left" vertical="top" wrapText="1"/>
    </xf>
    <xf numFmtId="164" fontId="70" fillId="0" borderId="8" xfId="0" applyFont="1" applyBorder="1" applyAlignment="1">
      <alignment horizontal="center" wrapText="1"/>
    </xf>
    <xf numFmtId="164" fontId="70" fillId="0" borderId="11" xfId="0" applyFont="1" applyBorder="1" applyAlignment="1">
      <alignment horizontal="center"/>
    </xf>
    <xf numFmtId="165" fontId="28" fillId="11" borderId="14" xfId="0" applyNumberFormat="1" applyFont="1" applyFill="1" applyBorder="1" applyAlignment="1"/>
    <xf numFmtId="0" fontId="109" fillId="2" borderId="1" xfId="1" applyNumberFormat="1" applyFont="1" applyFill="1" applyBorder="1" applyAlignment="1" applyProtection="1">
      <alignment horizontal="left" vertical="center"/>
    </xf>
    <xf numFmtId="0" fontId="109" fillId="2" borderId="2" xfId="1" applyNumberFormat="1" applyFont="1" applyFill="1" applyBorder="1" applyAlignment="1" applyProtection="1">
      <alignment horizontal="left" vertical="center"/>
    </xf>
    <xf numFmtId="0" fontId="109" fillId="2" borderId="3" xfId="1" applyNumberFormat="1" applyFont="1" applyFill="1" applyBorder="1" applyAlignment="1" applyProtection="1">
      <alignment horizontal="left" vertical="center"/>
    </xf>
    <xf numFmtId="0" fontId="110" fillId="2" borderId="1" xfId="1" applyNumberFormat="1" applyFont="1" applyFill="1" applyBorder="1" applyAlignment="1" applyProtection="1">
      <alignment horizontal="left" vertical="center"/>
    </xf>
    <xf numFmtId="0" fontId="110" fillId="2" borderId="2" xfId="1" applyNumberFormat="1" applyFont="1" applyFill="1" applyBorder="1" applyAlignment="1" applyProtection="1">
      <alignment horizontal="left" vertical="center"/>
    </xf>
    <xf numFmtId="0" fontId="110" fillId="2" borderId="3" xfId="1" applyNumberFormat="1" applyFont="1" applyFill="1" applyBorder="1" applyAlignment="1" applyProtection="1">
      <alignment horizontal="left" vertical="center"/>
    </xf>
    <xf numFmtId="0" fontId="18" fillId="7" borderId="1" xfId="0" applyNumberFormat="1" applyFont="1" applyFill="1" applyBorder="1" applyAlignment="1" applyProtection="1">
      <alignment horizontal="left" vertical="top" wrapText="1"/>
      <protection locked="0"/>
    </xf>
    <xf numFmtId="0" fontId="18" fillId="7" borderId="2" xfId="0" applyNumberFormat="1" applyFont="1" applyFill="1" applyBorder="1" applyAlignment="1" applyProtection="1">
      <alignment horizontal="left" vertical="top" wrapText="1"/>
      <protection locked="0"/>
    </xf>
    <xf numFmtId="0" fontId="18" fillId="7" borderId="3" xfId="0" applyNumberFormat="1" applyFont="1" applyFill="1" applyBorder="1" applyAlignment="1" applyProtection="1">
      <alignment horizontal="left" vertical="top" wrapText="1"/>
      <protection locked="0"/>
    </xf>
    <xf numFmtId="164" fontId="31" fillId="2" borderId="12" xfId="0" applyFont="1" applyFill="1" applyBorder="1" applyAlignment="1" applyProtection="1">
      <alignment horizontal="left"/>
    </xf>
    <xf numFmtId="0" fontId="26" fillId="12" borderId="24" xfId="0" applyNumberFormat="1" applyFont="1" applyFill="1" applyBorder="1" applyAlignment="1" applyProtection="1">
      <alignment horizontal="right"/>
    </xf>
    <xf numFmtId="0" fontId="18" fillId="2" borderId="1" xfId="1" applyNumberFormat="1" applyFont="1" applyFill="1" applyBorder="1" applyAlignment="1" applyProtection="1">
      <alignment horizontal="left" vertical="center" indent="1"/>
      <protection locked="0"/>
    </xf>
    <xf numFmtId="0" fontId="18" fillId="2" borderId="2" xfId="1" applyNumberFormat="1" applyFont="1" applyFill="1" applyBorder="1" applyAlignment="1" applyProtection="1">
      <alignment horizontal="left" vertical="center" indent="1"/>
      <protection locked="0"/>
    </xf>
    <xf numFmtId="0" fontId="18" fillId="2" borderId="3" xfId="1" applyNumberFormat="1" applyFont="1" applyFill="1" applyBorder="1" applyAlignment="1" applyProtection="1">
      <alignment horizontal="left" vertical="center" indent="1"/>
      <protection locked="0"/>
    </xf>
    <xf numFmtId="0" fontId="18" fillId="2" borderId="1" xfId="1" applyNumberFormat="1" applyFont="1" applyFill="1" applyBorder="1" applyAlignment="1" applyProtection="1">
      <alignment horizontal="left" vertical="center" indent="1"/>
    </xf>
    <xf numFmtId="0" fontId="18" fillId="2" borderId="2" xfId="1" applyNumberFormat="1" applyFont="1" applyFill="1" applyBorder="1" applyAlignment="1" applyProtection="1">
      <alignment horizontal="left" vertical="center" indent="1"/>
    </xf>
    <xf numFmtId="0" fontId="18" fillId="2" borderId="3" xfId="1" applyNumberFormat="1" applyFont="1" applyFill="1" applyBorder="1" applyAlignment="1" applyProtection="1">
      <alignment horizontal="left" vertical="center" indent="1"/>
    </xf>
    <xf numFmtId="49" fontId="109" fillId="2" borderId="1" xfId="1" applyNumberFormat="1" applyFont="1" applyFill="1" applyBorder="1" applyAlignment="1" applyProtection="1">
      <alignment vertical="center"/>
      <protection locked="0"/>
    </xf>
    <xf numFmtId="49" fontId="109" fillId="2" borderId="2" xfId="1" applyNumberFormat="1" applyFont="1" applyFill="1" applyBorder="1" applyAlignment="1" applyProtection="1">
      <alignment vertical="center"/>
      <protection locked="0"/>
    </xf>
    <xf numFmtId="49" fontId="109" fillId="2" borderId="3" xfId="1" applyNumberFormat="1" applyFont="1" applyFill="1" applyBorder="1" applyAlignment="1" applyProtection="1">
      <alignment vertical="center"/>
      <protection locked="0"/>
    </xf>
    <xf numFmtId="0" fontId="18" fillId="2" borderId="2" xfId="1" applyNumberFormat="1" applyFont="1" applyFill="1" applyBorder="1" applyAlignment="1" applyProtection="1">
      <alignment horizontal="right" vertical="center"/>
    </xf>
    <xf numFmtId="0" fontId="18" fillId="2" borderId="3" xfId="1" applyNumberFormat="1" applyFont="1" applyFill="1" applyBorder="1" applyAlignment="1" applyProtection="1">
      <alignment horizontal="right" vertical="center"/>
    </xf>
    <xf numFmtId="0" fontId="109" fillId="2" borderId="1" xfId="1" applyNumberFormat="1" applyFont="1" applyFill="1" applyBorder="1" applyAlignment="1" applyProtection="1">
      <alignment horizontal="center" vertical="center"/>
      <protection locked="0"/>
    </xf>
    <xf numFmtId="0" fontId="109" fillId="2" borderId="3" xfId="1" applyNumberFormat="1" applyFont="1" applyFill="1" applyBorder="1" applyAlignment="1" applyProtection="1">
      <alignment horizontal="center" vertical="center"/>
      <protection locked="0"/>
    </xf>
    <xf numFmtId="164" fontId="102" fillId="2" borderId="0" xfId="0" applyFont="1" applyFill="1" applyBorder="1" applyAlignment="1">
      <alignment vertical="center"/>
    </xf>
    <xf numFmtId="164" fontId="7" fillId="12" borderId="24" xfId="0" applyFont="1" applyFill="1" applyBorder="1" applyAlignment="1">
      <alignment horizontal="left"/>
    </xf>
    <xf numFmtId="0" fontId="109" fillId="2" borderId="1" xfId="1" applyNumberFormat="1" applyFont="1" applyFill="1" applyBorder="1" applyAlignment="1" applyProtection="1">
      <alignment horizontal="left" vertical="center"/>
      <protection locked="0"/>
    </xf>
    <xf numFmtId="0" fontId="109" fillId="2" borderId="2" xfId="1" applyNumberFormat="1" applyFont="1" applyFill="1" applyBorder="1" applyAlignment="1" applyProtection="1">
      <alignment horizontal="left" vertical="center"/>
      <protection locked="0"/>
    </xf>
    <xf numFmtId="0" fontId="109" fillId="2" borderId="3" xfId="1" applyNumberFormat="1" applyFont="1" applyFill="1" applyBorder="1" applyAlignment="1" applyProtection="1">
      <alignment horizontal="left" vertical="center"/>
      <protection locked="0"/>
    </xf>
    <xf numFmtId="164" fontId="102" fillId="2" borderId="0" xfId="0" applyFont="1" applyFill="1" applyBorder="1" applyAlignment="1">
      <alignment horizontal="left" vertical="center"/>
    </xf>
    <xf numFmtId="164" fontId="102" fillId="2" borderId="10" xfId="0" applyFont="1" applyFill="1" applyBorder="1" applyAlignment="1">
      <alignment horizontal="left" vertical="center"/>
    </xf>
    <xf numFmtId="0" fontId="18" fillId="7" borderId="19" xfId="0" applyNumberFormat="1" applyFont="1" applyFill="1" applyBorder="1" applyAlignment="1" applyProtection="1">
      <alignment horizontal="left" vertical="top" wrapText="1"/>
      <protection locked="0"/>
    </xf>
    <xf numFmtId="0" fontId="18" fillId="7" borderId="20" xfId="0" applyNumberFormat="1" applyFont="1" applyFill="1" applyBorder="1" applyAlignment="1" applyProtection="1">
      <alignment horizontal="left" vertical="top" wrapText="1"/>
      <protection locked="0"/>
    </xf>
    <xf numFmtId="0" fontId="18" fillId="7" borderId="21" xfId="0" applyNumberFormat="1" applyFont="1" applyFill="1" applyBorder="1" applyAlignment="1" applyProtection="1">
      <alignment horizontal="left" vertical="top" wrapText="1"/>
      <protection locked="0"/>
    </xf>
    <xf numFmtId="1" fontId="60" fillId="14" borderId="7" xfId="0" applyNumberFormat="1" applyFont="1" applyFill="1" applyBorder="1" applyAlignment="1">
      <alignment vertical="top" wrapText="1"/>
    </xf>
    <xf numFmtId="1" fontId="60" fillId="14" borderId="2" xfId="0" applyNumberFormat="1" applyFont="1" applyFill="1" applyBorder="1" applyAlignment="1">
      <alignment vertical="top" wrapText="1"/>
    </xf>
    <xf numFmtId="1" fontId="60" fillId="16" borderId="2" xfId="0" applyNumberFormat="1" applyFont="1" applyFill="1" applyBorder="1" applyAlignment="1">
      <alignment vertical="top" wrapText="1"/>
    </xf>
    <xf numFmtId="164" fontId="31" fillId="2" borderId="26" xfId="0" applyFont="1" applyFill="1" applyBorder="1" applyAlignment="1" applyProtection="1">
      <alignment horizontal="left"/>
    </xf>
    <xf numFmtId="1" fontId="4" fillId="0" borderId="1" xfId="0" applyNumberFormat="1" applyFont="1" applyFill="1" applyBorder="1" applyAlignment="1" applyProtection="1">
      <alignment horizontal="left" vertical="top" wrapText="1"/>
      <protection locked="0"/>
    </xf>
    <xf numFmtId="1" fontId="4" fillId="0" borderId="2" xfId="0" applyNumberFormat="1" applyFont="1" applyFill="1" applyBorder="1" applyAlignment="1" applyProtection="1">
      <alignment horizontal="left" vertical="top" wrapText="1"/>
      <protection locked="0"/>
    </xf>
    <xf numFmtId="1" fontId="4" fillId="0" borderId="3" xfId="0" applyNumberFormat="1" applyFont="1" applyFill="1" applyBorder="1" applyAlignment="1" applyProtection="1">
      <alignment horizontal="left" vertical="top" wrapText="1"/>
      <protection locked="0"/>
    </xf>
    <xf numFmtId="0" fontId="26" fillId="12" borderId="24" xfId="0" applyNumberFormat="1" applyFont="1" applyFill="1" applyBorder="1" applyAlignment="1">
      <alignment horizontal="right"/>
    </xf>
    <xf numFmtId="1" fontId="60" fillId="14" borderId="1" xfId="0" applyNumberFormat="1" applyFont="1" applyFill="1" applyBorder="1" applyAlignment="1">
      <alignment vertical="top" wrapText="1"/>
    </xf>
    <xf numFmtId="1" fontId="18" fillId="0" borderId="1" xfId="0" applyNumberFormat="1" applyFont="1" applyFill="1" applyBorder="1" applyAlignment="1" applyProtection="1">
      <alignment horizontal="left" vertical="top" wrapText="1"/>
      <protection locked="0"/>
    </xf>
    <xf numFmtId="1" fontId="18" fillId="0" borderId="2" xfId="0" applyNumberFormat="1" applyFont="1" applyFill="1" applyBorder="1" applyAlignment="1" applyProtection="1">
      <alignment horizontal="left" vertical="top" wrapText="1"/>
      <protection locked="0"/>
    </xf>
    <xf numFmtId="1" fontId="18" fillId="0" borderId="3" xfId="0" applyNumberFormat="1" applyFont="1" applyFill="1" applyBorder="1" applyAlignment="1" applyProtection="1">
      <alignment horizontal="left" vertical="top" wrapText="1"/>
      <protection locked="0"/>
    </xf>
    <xf numFmtId="0" fontId="18" fillId="2" borderId="1" xfId="0" applyNumberFormat="1" applyFont="1" applyFill="1" applyBorder="1" applyAlignment="1" applyProtection="1">
      <alignment horizontal="left" vertical="center" wrapText="1"/>
      <protection locked="0"/>
    </xf>
    <xf numFmtId="0" fontId="18" fillId="2" borderId="2" xfId="0" applyNumberFormat="1" applyFont="1" applyFill="1" applyBorder="1" applyAlignment="1" applyProtection="1">
      <alignment horizontal="left" vertical="center" wrapText="1"/>
      <protection locked="0"/>
    </xf>
    <xf numFmtId="0" fontId="18" fillId="2" borderId="3" xfId="0" applyNumberFormat="1" applyFont="1" applyFill="1" applyBorder="1" applyAlignment="1" applyProtection="1">
      <alignment horizontal="left" vertical="center" wrapText="1"/>
      <protection locked="0"/>
    </xf>
    <xf numFmtId="0" fontId="18" fillId="2" borderId="1" xfId="0" applyNumberFormat="1" applyFont="1" applyFill="1" applyBorder="1" applyAlignment="1" applyProtection="1">
      <alignment horizontal="left" vertical="top" wrapText="1"/>
      <protection locked="0"/>
    </xf>
    <xf numFmtId="0" fontId="18" fillId="2" borderId="2" xfId="0" applyNumberFormat="1" applyFont="1" applyFill="1" applyBorder="1" applyAlignment="1" applyProtection="1">
      <alignment horizontal="left" vertical="top" wrapText="1"/>
      <protection locked="0"/>
    </xf>
    <xf numFmtId="0" fontId="18" fillId="2" borderId="3" xfId="0" applyNumberFormat="1" applyFont="1" applyFill="1" applyBorder="1" applyAlignment="1" applyProtection="1">
      <alignment horizontal="left" vertical="top" wrapText="1"/>
      <protection locked="0"/>
    </xf>
    <xf numFmtId="0" fontId="4" fillId="2" borderId="0" xfId="0" applyNumberFormat="1" applyFont="1" applyFill="1" applyBorder="1" applyAlignment="1" applyProtection="1">
      <alignment horizontal="left" vertical="center" wrapText="1"/>
    </xf>
    <xf numFmtId="164" fontId="18" fillId="2" borderId="1" xfId="0" applyFont="1" applyFill="1" applyBorder="1" applyAlignment="1" applyProtection="1">
      <alignment horizontal="left" vertical="center" wrapText="1"/>
      <protection locked="0"/>
    </xf>
    <xf numFmtId="164" fontId="18" fillId="2" borderId="2" xfId="0" applyFont="1" applyFill="1" applyBorder="1" applyAlignment="1" applyProtection="1">
      <alignment horizontal="left" vertical="center" wrapText="1"/>
      <protection locked="0"/>
    </xf>
    <xf numFmtId="164" fontId="18" fillId="2" borderId="3" xfId="0" applyFont="1" applyFill="1" applyBorder="1" applyAlignment="1" applyProtection="1">
      <alignment horizontal="left" vertical="center" wrapText="1"/>
      <protection locked="0"/>
    </xf>
    <xf numFmtId="49" fontId="18" fillId="2" borderId="1" xfId="0" applyNumberFormat="1" applyFont="1" applyFill="1" applyBorder="1" applyAlignment="1" applyProtection="1">
      <alignment horizontal="left" vertical="center" wrapText="1"/>
      <protection locked="0"/>
    </xf>
    <xf numFmtId="49" fontId="18" fillId="2" borderId="2" xfId="0" applyNumberFormat="1" applyFont="1" applyFill="1" applyBorder="1" applyAlignment="1" applyProtection="1">
      <alignment horizontal="left" vertical="center" wrapText="1"/>
      <protection locked="0"/>
    </xf>
    <xf numFmtId="49" fontId="18" fillId="2" borderId="3" xfId="0" applyNumberFormat="1" applyFont="1" applyFill="1" applyBorder="1" applyAlignment="1" applyProtection="1">
      <alignment horizontal="left" vertical="center" wrapText="1"/>
      <protection locked="0"/>
    </xf>
    <xf numFmtId="164" fontId="19" fillId="7" borderId="1" xfId="0" applyFont="1" applyFill="1" applyBorder="1" applyAlignment="1" applyProtection="1">
      <alignment vertical="top" wrapText="1"/>
      <protection locked="0"/>
    </xf>
    <xf numFmtId="164" fontId="19" fillId="7" borderId="2" xfId="0" applyFont="1" applyFill="1" applyBorder="1" applyAlignment="1" applyProtection="1">
      <alignment vertical="top" wrapText="1"/>
      <protection locked="0"/>
    </xf>
    <xf numFmtId="164" fontId="19" fillId="7" borderId="3" xfId="0" applyFont="1" applyFill="1" applyBorder="1" applyAlignment="1" applyProtection="1">
      <alignment vertical="top" wrapText="1"/>
      <protection locked="0"/>
    </xf>
    <xf numFmtId="164" fontId="31" fillId="2" borderId="12" xfId="0" applyFont="1" applyFill="1" applyBorder="1" applyAlignment="1" applyProtection="1">
      <alignment horizontal="center" wrapText="1"/>
    </xf>
    <xf numFmtId="0" fontId="26" fillId="12" borderId="17" xfId="0" applyNumberFormat="1" applyFont="1" applyFill="1" applyBorder="1" applyAlignment="1">
      <alignment horizontal="right" wrapText="1"/>
    </xf>
    <xf numFmtId="164" fontId="31" fillId="2" borderId="12" xfId="0" applyFont="1" applyFill="1" applyBorder="1" applyAlignment="1">
      <alignment horizontal="left" wrapText="1"/>
    </xf>
    <xf numFmtId="164" fontId="31" fillId="15" borderId="0" xfId="0" applyFont="1" applyFill="1" applyBorder="1" applyAlignment="1">
      <alignment wrapText="1"/>
    </xf>
    <xf numFmtId="1" fontId="4" fillId="2" borderId="9" xfId="0" applyNumberFormat="1" applyFont="1" applyFill="1" applyBorder="1" applyAlignment="1">
      <alignment horizontal="left" indent="1"/>
    </xf>
    <xf numFmtId="1" fontId="4" fillId="2" borderId="0" xfId="0" applyNumberFormat="1" applyFont="1" applyFill="1" applyBorder="1" applyAlignment="1">
      <alignment horizontal="left" indent="1"/>
    </xf>
    <xf numFmtId="0" fontId="18" fillId="2" borderId="1" xfId="0" applyNumberFormat="1" applyFont="1" applyFill="1" applyBorder="1" applyAlignment="1" applyProtection="1">
      <alignment vertical="center" wrapText="1"/>
      <protection locked="0"/>
    </xf>
    <xf numFmtId="0" fontId="18" fillId="2" borderId="2" xfId="0" applyNumberFormat="1" applyFont="1" applyFill="1" applyBorder="1" applyAlignment="1" applyProtection="1">
      <alignment vertical="center" wrapText="1"/>
      <protection locked="0"/>
    </xf>
    <xf numFmtId="0" fontId="18" fillId="2" borderId="3" xfId="0" applyNumberFormat="1" applyFont="1" applyFill="1" applyBorder="1" applyAlignment="1" applyProtection="1">
      <alignment vertical="center" wrapText="1"/>
      <protection locked="0"/>
    </xf>
    <xf numFmtId="164" fontId="18" fillId="0" borderId="1" xfId="0" applyFont="1" applyFill="1" applyBorder="1" applyAlignment="1" applyProtection="1">
      <alignment horizontal="left" vertical="center" wrapText="1"/>
      <protection locked="0"/>
    </xf>
    <xf numFmtId="164" fontId="18" fillId="0" borderId="2" xfId="0" applyFont="1" applyFill="1" applyBorder="1" applyAlignment="1" applyProtection="1">
      <alignment horizontal="left" vertical="center" wrapText="1"/>
      <protection locked="0"/>
    </xf>
    <xf numFmtId="164" fontId="18" fillId="0" borderId="3" xfId="0" applyFont="1" applyFill="1" applyBorder="1" applyAlignment="1" applyProtection="1">
      <alignment horizontal="left" vertical="center" wrapText="1"/>
      <protection locked="0"/>
    </xf>
    <xf numFmtId="0" fontId="18" fillId="0" borderId="1" xfId="0" applyNumberFormat="1" applyFont="1" applyFill="1" applyBorder="1" applyAlignment="1" applyProtection="1">
      <alignment horizontal="left" vertical="center" wrapText="1"/>
      <protection locked="0"/>
    </xf>
    <xf numFmtId="0" fontId="18" fillId="0" borderId="2" xfId="0" applyNumberFormat="1" applyFont="1" applyFill="1" applyBorder="1" applyAlignment="1" applyProtection="1">
      <alignment horizontal="left" vertical="center" wrapText="1"/>
      <protection locked="0"/>
    </xf>
    <xf numFmtId="0" fontId="18" fillId="0" borderId="3" xfId="0" applyNumberFormat="1" applyFont="1" applyFill="1" applyBorder="1" applyAlignment="1" applyProtection="1">
      <alignment horizontal="left" vertical="center" wrapText="1"/>
      <protection locked="0"/>
    </xf>
    <xf numFmtId="164" fontId="9" fillId="0" borderId="0" xfId="0" applyFont="1" applyFill="1" applyBorder="1" applyAlignment="1">
      <alignment horizontal="left" vertical="top" wrapText="1"/>
    </xf>
    <xf numFmtId="0" fontId="26" fillId="12" borderId="17" xfId="0" applyNumberFormat="1" applyFont="1" applyFill="1" applyBorder="1" applyAlignment="1">
      <alignment horizontal="right"/>
    </xf>
    <xf numFmtId="164" fontId="4" fillId="2" borderId="1" xfId="0" applyFont="1" applyFill="1" applyBorder="1" applyAlignment="1" applyProtection="1">
      <alignment horizontal="left" vertical="center" wrapText="1"/>
      <protection locked="0"/>
    </xf>
    <xf numFmtId="164" fontId="4" fillId="2" borderId="2" xfId="0" applyFont="1" applyFill="1" applyBorder="1" applyAlignment="1" applyProtection="1">
      <alignment horizontal="left" vertical="center" wrapText="1"/>
      <protection locked="0"/>
    </xf>
    <xf numFmtId="164" fontId="4" fillId="2" borderId="3" xfId="0" applyFont="1" applyFill="1" applyBorder="1" applyAlignment="1" applyProtection="1">
      <alignment horizontal="left" vertical="center" wrapText="1"/>
      <protection locked="0"/>
    </xf>
    <xf numFmtId="164" fontId="99" fillId="2" borderId="36" xfId="1" applyFont="1" applyFill="1" applyBorder="1" applyAlignment="1" applyProtection="1"/>
    <xf numFmtId="0" fontId="4" fillId="2" borderId="33" xfId="0" applyNumberFormat="1" applyFont="1" applyFill="1" applyBorder="1" applyAlignment="1" applyProtection="1">
      <alignment horizontal="left" vertical="center" wrapText="1"/>
    </xf>
    <xf numFmtId="164" fontId="18" fillId="2" borderId="1" xfId="0" applyFont="1" applyFill="1" applyBorder="1" applyAlignment="1" applyProtection="1">
      <alignment horizontal="left" vertical="top" wrapText="1"/>
      <protection locked="0"/>
    </xf>
    <xf numFmtId="164" fontId="18" fillId="2" borderId="2" xfId="0" applyFont="1" applyFill="1" applyBorder="1" applyAlignment="1" applyProtection="1">
      <alignment horizontal="left" vertical="top" wrapText="1"/>
      <protection locked="0"/>
    </xf>
    <xf numFmtId="164" fontId="18" fillId="2" borderId="3" xfId="0" applyFont="1" applyFill="1" applyBorder="1" applyAlignment="1" applyProtection="1">
      <alignment horizontal="left" vertical="top" wrapText="1"/>
      <protection locked="0"/>
    </xf>
    <xf numFmtId="164" fontId="31" fillId="2" borderId="2" xfId="0" applyFont="1" applyFill="1" applyBorder="1" applyAlignment="1">
      <alignment horizontal="center" wrapText="1"/>
    </xf>
    <xf numFmtId="0" fontId="4" fillId="2" borderId="9" xfId="0" applyNumberFormat="1" applyFont="1" applyFill="1" applyBorder="1" applyAlignment="1" applyProtection="1">
      <alignment horizontal="left" vertical="center" wrapText="1"/>
    </xf>
    <xf numFmtId="164" fontId="18" fillId="2" borderId="1" xfId="0" applyFont="1" applyFill="1" applyBorder="1" applyAlignment="1" applyProtection="1">
      <alignment horizontal="left" vertical="top" wrapText="1" indent="1"/>
      <protection locked="0"/>
    </xf>
    <xf numFmtId="164" fontId="18" fillId="2" borderId="2" xfId="0" applyFont="1" applyFill="1" applyBorder="1" applyAlignment="1" applyProtection="1">
      <alignment horizontal="left" vertical="top" wrapText="1" indent="1"/>
      <protection locked="0"/>
    </xf>
    <xf numFmtId="164" fontId="18" fillId="2" borderId="3" xfId="0" applyFont="1" applyFill="1" applyBorder="1" applyAlignment="1" applyProtection="1">
      <alignment horizontal="left" vertical="top" wrapText="1" indent="1"/>
      <protection locked="0"/>
    </xf>
    <xf numFmtId="164" fontId="31" fillId="2" borderId="41" xfId="0" applyFont="1" applyFill="1" applyBorder="1" applyAlignment="1" applyProtection="1">
      <alignment horizontal="left"/>
    </xf>
    <xf numFmtId="0" fontId="26" fillId="12" borderId="17" xfId="0" applyNumberFormat="1" applyFont="1" applyFill="1" applyBorder="1" applyAlignment="1">
      <alignment horizontal="center"/>
    </xf>
    <xf numFmtId="164" fontId="31" fillId="2" borderId="42" xfId="0" applyFont="1" applyFill="1" applyBorder="1" applyAlignment="1">
      <alignment horizontal="left" wrapText="1"/>
    </xf>
    <xf numFmtId="0" fontId="31" fillId="7" borderId="1" xfId="1" applyNumberFormat="1" applyFont="1" applyFill="1" applyBorder="1" applyAlignment="1" applyProtection="1">
      <alignment horizontal="left" vertical="top" wrapText="1" indent="1"/>
      <protection locked="0"/>
    </xf>
    <xf numFmtId="0" fontId="31" fillId="7" borderId="2" xfId="1" applyNumberFormat="1" applyFont="1" applyFill="1" applyBorder="1" applyAlignment="1" applyProtection="1">
      <alignment horizontal="left" vertical="top" wrapText="1" indent="1"/>
      <protection locked="0"/>
    </xf>
    <xf numFmtId="0" fontId="31" fillId="7" borderId="3" xfId="1" applyNumberFormat="1" applyFont="1" applyFill="1" applyBorder="1" applyAlignment="1" applyProtection="1">
      <alignment horizontal="left" vertical="top" wrapText="1" indent="1"/>
      <protection locked="0"/>
    </xf>
    <xf numFmtId="164" fontId="31" fillId="2" borderId="2" xfId="0" applyFont="1" applyFill="1" applyBorder="1" applyAlignment="1" applyProtection="1">
      <alignment horizontal="center" wrapText="1"/>
    </xf>
    <xf numFmtId="164" fontId="18" fillId="2" borderId="1" xfId="0" applyFont="1" applyFill="1" applyBorder="1" applyAlignment="1" applyProtection="1">
      <alignment horizontal="left" vertical="top" wrapText="1" indent="2"/>
      <protection locked="0"/>
    </xf>
    <xf numFmtId="164" fontId="18" fillId="2" borderId="2" xfId="0" applyFont="1" applyFill="1" applyBorder="1" applyAlignment="1" applyProtection="1">
      <alignment horizontal="left" vertical="top" wrapText="1" indent="2"/>
      <protection locked="0"/>
    </xf>
    <xf numFmtId="164" fontId="18" fillId="2" borderId="3" xfId="0" applyFont="1" applyFill="1" applyBorder="1" applyAlignment="1" applyProtection="1">
      <alignment horizontal="left" vertical="top" wrapText="1" indent="2"/>
      <protection locked="0"/>
    </xf>
    <xf numFmtId="164" fontId="112" fillId="2" borderId="0" xfId="0" applyFont="1" applyFill="1" applyBorder="1" applyAlignment="1">
      <alignment vertical="center" wrapText="1"/>
    </xf>
    <xf numFmtId="0" fontId="4" fillId="2" borderId="2" xfId="0" applyNumberFormat="1" applyFont="1" applyFill="1" applyBorder="1" applyAlignment="1" applyProtection="1">
      <alignment horizontal="left" vertical="center" wrapText="1"/>
    </xf>
    <xf numFmtId="0" fontId="4" fillId="2" borderId="38" xfId="0" applyNumberFormat="1" applyFont="1" applyFill="1" applyBorder="1" applyAlignment="1" applyProtection="1">
      <alignment horizontal="left" vertical="center" wrapText="1"/>
    </xf>
    <xf numFmtId="164" fontId="18" fillId="2" borderId="1" xfId="0" applyFont="1" applyFill="1" applyBorder="1" applyAlignment="1" applyProtection="1">
      <alignment horizontal="left" vertical="center" wrapText="1" indent="2"/>
      <protection locked="0"/>
    </xf>
    <xf numFmtId="164" fontId="18" fillId="2" borderId="2" xfId="0" applyFont="1" applyFill="1" applyBorder="1" applyAlignment="1" applyProtection="1">
      <alignment horizontal="left" vertical="center" wrapText="1" indent="2"/>
      <protection locked="0"/>
    </xf>
    <xf numFmtId="164" fontId="18" fillId="2" borderId="3" xfId="0" applyFont="1" applyFill="1" applyBorder="1" applyAlignment="1" applyProtection="1">
      <alignment horizontal="left" vertical="center" wrapText="1" indent="2"/>
      <protection locked="0"/>
    </xf>
    <xf numFmtId="164" fontId="31" fillId="2" borderId="2" xfId="0" applyFont="1" applyFill="1" applyBorder="1" applyAlignment="1" applyProtection="1">
      <alignment horizontal="left"/>
    </xf>
    <xf numFmtId="0" fontId="4" fillId="2" borderId="0" xfId="1" applyNumberFormat="1" applyFont="1" applyFill="1" applyBorder="1" applyAlignment="1" applyProtection="1">
      <alignment horizontal="left" vertical="top" wrapText="1" indent="1"/>
      <protection locked="0"/>
    </xf>
    <xf numFmtId="164" fontId="18" fillId="15" borderId="1" xfId="0" applyFont="1" applyFill="1" applyBorder="1" applyAlignment="1" applyProtection="1">
      <alignment horizontal="left" vertical="top" wrapText="1"/>
      <protection locked="0"/>
    </xf>
    <xf numFmtId="164" fontId="18" fillId="15" borderId="2" xfId="0" applyFont="1" applyFill="1" applyBorder="1" applyAlignment="1" applyProtection="1">
      <alignment horizontal="left" vertical="top" wrapText="1"/>
      <protection locked="0"/>
    </xf>
    <xf numFmtId="164" fontId="18" fillId="15" borderId="3" xfId="0" applyFont="1" applyFill="1" applyBorder="1" applyAlignment="1" applyProtection="1">
      <alignment horizontal="left" vertical="top" wrapText="1"/>
      <protection locked="0"/>
    </xf>
    <xf numFmtId="0" fontId="31" fillId="2" borderId="12" xfId="1" applyNumberFormat="1" applyFont="1" applyFill="1" applyBorder="1" applyAlignment="1" applyProtection="1">
      <alignment horizontal="left" wrapText="1" indent="2"/>
      <protection locked="0"/>
    </xf>
    <xf numFmtId="164" fontId="31" fillId="2" borderId="2" xfId="0" applyFont="1" applyFill="1" applyBorder="1" applyAlignment="1">
      <alignment horizontal="center"/>
    </xf>
    <xf numFmtId="164" fontId="37" fillId="2" borderId="22" xfId="0" applyFont="1" applyFill="1" applyBorder="1" applyAlignment="1">
      <alignment vertical="center" wrapText="1"/>
    </xf>
    <xf numFmtId="164" fontId="18" fillId="2" borderId="1" xfId="0" applyFont="1" applyFill="1" applyBorder="1" applyAlignment="1" applyProtection="1">
      <alignment horizontal="left" vertical="top" wrapText="1"/>
    </xf>
    <xf numFmtId="164" fontId="18" fillId="2" borderId="2" xfId="0" applyFont="1" applyFill="1" applyBorder="1" applyAlignment="1" applyProtection="1">
      <alignment horizontal="left" vertical="top" wrapText="1"/>
    </xf>
    <xf numFmtId="164" fontId="18" fillId="2" borderId="3" xfId="0" applyFont="1" applyFill="1" applyBorder="1" applyAlignment="1" applyProtection="1">
      <alignment horizontal="left" vertical="top" wrapText="1"/>
    </xf>
  </cellXfs>
  <cellStyles count="14">
    <cellStyle name="Comma" xfId="12" builtinId="3"/>
    <cellStyle name="Currency" xfId="11" builtinId="4"/>
    <cellStyle name="Hyperlink" xfId="1" builtinId="8"/>
    <cellStyle name="Hyperlink 2" xfId="3"/>
    <cellStyle name="Hyperlink 3" xfId="6"/>
    <cellStyle name="Hyperlink 4" xfId="9"/>
    <cellStyle name="Normal" xfId="0" builtinId="0"/>
    <cellStyle name="Normal 2" xfId="4"/>
    <cellStyle name="Normal 3" xfId="5"/>
    <cellStyle name="Normal 4" xfId="8"/>
    <cellStyle name="Normal 5" xfId="10"/>
    <cellStyle name="Normal 6" xfId="13"/>
    <cellStyle name="Style 1" xfId="2"/>
    <cellStyle name="Style 1 2" xfId="7"/>
  </cellStyles>
  <dxfs count="2688">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border diagonalUp="0" diagonalDown="0" outline="0">
        <left style="medium">
          <color theme="0" tint="-0.499984740745262"/>
        </left>
        <right/>
        <top/>
        <bottom/>
      </border>
      <protection locked="0" hidden="0"/>
    </dxf>
    <dxf>
      <alignment horizontal="center" vertical="bottom" textRotation="0" wrapText="0" indent="0" relativeIndent="0" justifyLastLine="0" shrinkToFit="0" mergeCell="0" readingOrder="0"/>
      <protection locked="0" hidden="0"/>
    </dxf>
    <dxf>
      <alignment horizontal="center" vertical="bottom" textRotation="0" wrapText="0" indent="0" relativeIndent="0" justifyLastLine="0" shrinkToFit="0" mergeCell="0" readingOrder="0"/>
      <protection locked="0" hidden="0"/>
    </dxf>
    <dxf>
      <alignment vertical="top" textRotation="0" indent="0" relativeIndent="255" justifyLastLine="0" shrinkToFit="0" mergeCell="0" readingOrder="0"/>
      <protection locked="0" hidden="0"/>
    </dxf>
    <dxf>
      <alignment vertical="top" textRotation="0" indent="0" relativeIndent="255" justifyLastLine="0" shrinkToFit="0" mergeCell="0" readingOrder="0"/>
      <protection locked="0" hidden="0"/>
    </dxf>
    <dxf>
      <numFmt numFmtId="1" formatCode="0"/>
      <alignment horizontal="center" vertical="top" textRotation="0" wrapText="0" indent="0" relativeIndent="0" justifyLastLine="0" shrinkToFit="0" mergeCell="0" readingOrder="0"/>
    </dxf>
    <dxf>
      <numFmt numFmtId="1" formatCode="0"/>
      <alignment horizontal="center" vertical="top" textRotation="0" wrapText="0" indent="0" relativeIndent="0" justifyLastLine="0" shrinkToFit="0" mergeCell="0" readingOrder="0"/>
    </dxf>
    <dxf>
      <numFmt numFmtId="1" formatCode="0"/>
      <alignment horizontal="general" vertical="center" textRotation="0" wrapText="0" indent="0" relativeIndent="255" justifyLastLine="0" shrinkToFit="0" mergeCell="0" readingOrder="0"/>
    </dxf>
    <dxf>
      <numFmt numFmtId="1" formatCode="0"/>
      <alignment horizontal="center" vertical="center" textRotation="0" wrapText="0" indent="0" relativeIndent="255" justifyLastLine="0" shrinkToFit="0" mergeCell="0" readingOrder="0"/>
    </dxf>
    <dxf>
      <numFmt numFmtId="164" formatCode="[$-409]mmmm\ d\,\ yyyy;@"/>
      <alignment horizontal="left" vertical="top" textRotation="0" wrapText="0" indent="0" relativeIndent="255" justifyLastLine="0" shrinkToFit="0" mergeCell="0" readingOrder="0"/>
    </dxf>
    <dxf>
      <alignment vertical="top" textRotation="0" indent="0" relativeIndent="255" justifyLastLine="0" shrinkToFit="0" mergeCell="0" readingOrder="0"/>
    </dxf>
    <dxf>
      <numFmt numFmtId="0" formatCode="General"/>
      <alignment vertical="top" textRotation="0" indent="0" relativeIndent="255" justifyLastLine="0" shrinkToFit="0" mergeCell="0" readingOrder="0"/>
    </dxf>
    <dxf>
      <alignment vertical="top" textRotation="0" indent="0" relativeIndent="255" justifyLastLine="0" shrinkToFit="0" mergeCell="0" readingOrder="0"/>
    </dxf>
    <dxf>
      <alignment horizontal="center" vertical="top" textRotation="0" wrapText="0" indent="0" relativeIndent="255" justifyLastLine="0" shrinkToFit="0" mergeCell="0" readingOrder="0"/>
    </dxf>
    <dxf>
      <numFmt numFmtId="164" formatCode="[$-409]mmmm\ d\,\ yyyy;@"/>
      <alignment horizontal="center" vertical="top" textRotation="0" wrapText="0" indent="0" relativeIndent="255" justifyLastLine="0" shrinkToFit="0" mergeCell="0" readingOrder="0"/>
    </dxf>
    <dxf>
      <alignment vertical="top" textRotation="0" indent="0" relativeIndent="255" justifyLastLine="0" shrinkToFit="0" mergeCell="0" readingOrder="0"/>
    </dxf>
    <dxf>
      <fill>
        <patternFill>
          <bgColor rgb="FFE66836"/>
        </patternFill>
      </fill>
    </dxf>
    <dxf>
      <fill>
        <patternFill>
          <bgColor rgb="FFE66836"/>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b/>
        <i val="0"/>
      </font>
      <fill>
        <patternFill>
          <bgColor rgb="FFFF0000"/>
        </patternFill>
      </fill>
    </dxf>
    <dxf>
      <font>
        <b/>
        <i val="0"/>
      </font>
      <fill>
        <patternFill>
          <bgColor rgb="FFFA7406"/>
        </patternFill>
      </fill>
    </dxf>
    <dxf>
      <font>
        <b/>
        <i val="0"/>
      </font>
      <fill>
        <patternFill>
          <bgColor rgb="FFFFFF00"/>
        </patternFill>
      </fill>
    </dxf>
    <dxf>
      <font>
        <b/>
        <i val="0"/>
        <strike val="0"/>
      </font>
      <fill>
        <patternFill>
          <bgColor rgb="FFC8E951"/>
        </patternFill>
      </fill>
    </dxf>
    <dxf>
      <font>
        <b/>
        <i val="0"/>
        <strike val="0"/>
      </font>
      <fill>
        <patternFill>
          <bgColor rgb="FF7CBF33"/>
        </patternFill>
      </fill>
    </dxf>
    <dxf>
      <numFmt numFmtId="1" formatCode="0"/>
    </dxf>
    <dxf>
      <numFmt numFmtId="1" formatCode="0"/>
    </dxf>
    <dxf>
      <numFmt numFmtId="1" formatCode="0"/>
    </dxf>
    <dxf>
      <numFmt numFmtId="1" formatCode="0"/>
    </dxf>
    <dxf>
      <alignment horizontal="center" vertical="bottom" textRotation="0" wrapText="0" indent="0" relativeIndent="0" justifyLastLine="0" shrinkToFit="0" mergeCell="0" readingOrder="0"/>
    </dxf>
    <dxf>
      <alignment horizontal="center" vertical="bottom" textRotation="0" wrapText="0" indent="0" relativeIndent="0" justifyLastLine="0" shrinkToFit="0" mergeCell="0" readingOrder="0"/>
    </dxf>
    <dxf>
      <numFmt numFmtId="170" formatCode="m/d/yy;@"/>
    </dxf>
    <dxf>
      <numFmt numFmtId="164" formatCode="[$-409]mmmm\ d\,\ yyyy;@"/>
      <alignment horizontal="general" vertical="bottom" textRotation="0" wrapText="1" indent="0" relativeIndent="0" justifyLastLine="0" shrinkToFit="0" mergeCell="0" readingOrder="0"/>
    </dxf>
    <dxf>
      <alignment horizontal="general" vertical="bottom" textRotation="0" wrapText="1" indent="0" relativeIndent="0" justifyLastLine="0" shrinkToFit="0" mergeCell="0" readingOrder="0"/>
    </dxf>
    <dxf>
      <alignment horizontal="general" vertical="bottom" textRotation="0" wrapText="1" indent="0" relativeIndent="0" justifyLastLine="0" shrinkToFit="0" mergeCell="0" readingOrder="0"/>
    </dxf>
    <dxf>
      <numFmt numFmtId="1" formatCode="0"/>
    </dxf>
    <dxf>
      <numFmt numFmtId="170" formatCode="m/d/yy;@"/>
    </dxf>
    <dxf>
      <numFmt numFmtId="1" formatCode="0"/>
      <alignment horizontal="center" vertical="bottom" textRotation="0" wrapText="0" indent="0" relativeIndent="0" justifyLastLine="0" shrinkToFit="0" mergeCell="0" readingOrder="0"/>
    </dxf>
    <dxf>
      <numFmt numFmtId="169" formatCode="0.0"/>
    </dxf>
    <dxf>
      <numFmt numFmtId="1" formatCode="0"/>
      <alignment horizontal="center" vertical="center" textRotation="0" wrapText="0" indent="0" relativeIndent="0" justifyLastLine="0" shrinkToFit="0" mergeCell="0" readingOrder="0"/>
    </dxf>
    <dxf>
      <fill>
        <patternFill>
          <bgColor theme="3" tint="0.79998168889431442"/>
        </patternFill>
      </fill>
    </dxf>
    <dxf>
      <fill>
        <patternFill patternType="solid">
          <fgColor rgb="FFC5D9DF"/>
          <bgColor rgb="FFC5D9DF"/>
        </patternFill>
      </fill>
    </dxf>
    <dxf>
      <fill>
        <patternFill patternType="solid">
          <fgColor rgb="FFC5D9DF"/>
          <bgColor rgb="FFC5D9DF"/>
        </patternFill>
      </fill>
    </dxf>
    <dxf>
      <font>
        <b/>
        <color rgb="FFFFFFFF"/>
      </font>
      <fill>
        <patternFill patternType="solid">
          <fgColor rgb="FF6EA0B0"/>
          <bgColor rgb="FF6EA0B0"/>
        </patternFill>
      </fill>
    </dxf>
    <dxf>
      <font>
        <b/>
        <color rgb="FFFFFFFF"/>
      </font>
      <fill>
        <patternFill patternType="solid">
          <fgColor rgb="FF6EA0B0"/>
          <bgColor rgb="FF6EA0B0"/>
        </patternFill>
      </fill>
    </dxf>
    <dxf>
      <font>
        <b/>
        <color rgb="FFFFFFFF"/>
      </font>
      <fill>
        <patternFill patternType="solid">
          <fgColor rgb="FF6EA0B0"/>
          <bgColor rgb="FF6EA0B0"/>
        </patternFill>
      </fill>
      <border>
        <top style="thick">
          <color rgb="FFFFFFFF"/>
        </top>
      </border>
    </dxf>
    <dxf>
      <font>
        <b/>
        <color rgb="FFFFFFFF"/>
      </font>
      <fill>
        <patternFill patternType="solid">
          <fgColor rgb="FF6EA0B0"/>
          <bgColor rgb="FF6EA0B0"/>
        </patternFill>
      </fill>
      <border>
        <bottom style="thick">
          <color rgb="FFFFFFFF"/>
        </bottom>
      </border>
    </dxf>
    <dxf>
      <font>
        <color rgb="FF000000"/>
      </font>
      <fill>
        <patternFill patternType="solid">
          <fgColor rgb="FFE1ECEF"/>
          <bgColor rgb="FFE1ECEF"/>
        </patternFill>
      </fill>
      <border>
        <vertical style="thin">
          <color rgb="FFFFFFFF"/>
        </vertical>
        <horizontal style="thin">
          <color rgb="FFFFFFFF"/>
        </horizontal>
      </border>
    </dxf>
    <dxf>
      <fill>
        <patternFill patternType="solid">
          <fgColor rgb="FFC5D9DF"/>
          <bgColor rgb="FFC5D9DF"/>
        </patternFill>
      </fill>
    </dxf>
    <dxf>
      <fill>
        <patternFill patternType="solid">
          <fgColor rgb="FFC5D9DF"/>
          <bgColor rgb="FFC5D9DF"/>
        </patternFill>
      </fill>
    </dxf>
    <dxf>
      <font>
        <b/>
        <color rgb="FFFFFFFF"/>
      </font>
      <fill>
        <patternFill patternType="solid">
          <fgColor rgb="FF6EA0B0"/>
          <bgColor rgb="FF6EA0B0"/>
        </patternFill>
      </fill>
    </dxf>
    <dxf>
      <font>
        <b/>
        <color rgb="FFFFFFFF"/>
      </font>
      <fill>
        <patternFill patternType="solid">
          <fgColor rgb="FF6EA0B0"/>
          <bgColor rgb="FF6EA0B0"/>
        </patternFill>
      </fill>
    </dxf>
    <dxf>
      <font>
        <b/>
        <color rgb="FFFFFFFF"/>
      </font>
      <fill>
        <patternFill patternType="solid">
          <fgColor rgb="FF6EA0B0"/>
          <bgColor rgb="FF6EA0B0"/>
        </patternFill>
      </fill>
      <border>
        <top style="thick">
          <color rgb="FFFFFFFF"/>
        </top>
      </border>
    </dxf>
    <dxf>
      <font>
        <b/>
        <color rgb="FFFFFFFF"/>
      </font>
      <fill>
        <patternFill patternType="solid">
          <fgColor rgb="FF6EA0B0"/>
          <bgColor rgb="FF6EA0B0"/>
        </patternFill>
      </fill>
      <border>
        <bottom style="thick">
          <color rgb="FFFFFFFF"/>
        </bottom>
      </border>
    </dxf>
    <dxf>
      <font>
        <color rgb="FF000000"/>
      </font>
      <fill>
        <patternFill patternType="solid">
          <fgColor rgb="FFE1ECEF"/>
          <bgColor rgb="FFE1ECEF"/>
        </patternFill>
      </fill>
      <border>
        <vertical style="thin">
          <color rgb="FFFFFFFF"/>
        </vertical>
        <horizontal style="thin">
          <color rgb="FFFFFFFF"/>
        </horizontal>
      </border>
    </dxf>
    <dxf>
      <fill>
        <patternFill patternType="none">
          <bgColor auto="1"/>
        </patternFill>
      </fill>
    </dxf>
    <dxf>
      <fill>
        <patternFill>
          <bgColor theme="4" tint="0.59996337778862885"/>
        </patternFill>
      </fill>
    </dxf>
  </dxfs>
  <tableStyles count="5" defaultTableStyle="TableStyleMedium9" defaultPivotStyle="PivotStyleLight16">
    <tableStyle name="Table Style 1" pivot="0" count="1">
      <tableStyleElement type="wholeTable" dxfId="2687"/>
    </tableStyle>
    <tableStyle name="Table Style 2" pivot="0" count="1">
      <tableStyleElement type="wholeTable" dxfId="2686"/>
    </tableStyle>
    <tableStyle name="TableStyleMedium9 2" pivot="0" count="7">
      <tableStyleElement type="wholeTable" dxfId="2685"/>
      <tableStyleElement type="headerRow" dxfId="2684"/>
      <tableStyleElement type="totalRow" dxfId="2683"/>
      <tableStyleElement type="firstColumn" dxfId="2682"/>
      <tableStyleElement type="lastColumn" dxfId="2681"/>
      <tableStyleElement type="firstRowStripe" dxfId="2680"/>
      <tableStyleElement type="firstColumnStripe" dxfId="2679"/>
    </tableStyle>
    <tableStyle name="TableStyleMedium9 3" pivot="0" count="7">
      <tableStyleElement type="wholeTable" dxfId="2678"/>
      <tableStyleElement type="headerRow" dxfId="2677"/>
      <tableStyleElement type="totalRow" dxfId="2676"/>
      <tableStyleElement type="firstColumn" dxfId="2675"/>
      <tableStyleElement type="lastColumn" dxfId="2674"/>
      <tableStyleElement type="firstRowStripe" dxfId="2673"/>
      <tableStyleElement type="firstColumnStripe" dxfId="2672"/>
    </tableStyle>
    <tableStyle name="TimeTable" pivot="0" count="1">
      <tableStyleElement type="wholeTable" dxfId="2671"/>
    </tableStyle>
  </tableStyles>
  <colors>
    <mruColors>
      <color rgb="FFE66836"/>
      <color rgb="FF9E2E22"/>
      <color rgb="FF0E7A56"/>
      <color rgb="FF0E1656"/>
      <color rgb="FF0066FF"/>
      <color rgb="FF00FFFF"/>
      <color rgb="FFFA7406"/>
      <color rgb="FFFDDB9D"/>
      <color rgb="FFF9A307"/>
      <color rgb="FFD0EBB3"/>
    </mru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ctrlProps/ctrlProp43.xml><?xml version="1.0" encoding="utf-8"?>
<formControlPr xmlns="http://schemas.microsoft.com/office/spreadsheetml/2009/9/main" objectType="GBox" noThreeD="1"/>
</file>

<file path=xl/ctrlProps/ctrlProp44.xml><?xml version="1.0" encoding="utf-8"?>
<formControlPr xmlns="http://schemas.microsoft.com/office/spreadsheetml/2009/9/main" objectType="Radio" checked="Checked" firstButton="1" fmlaLink="K8" lockText="1" noThreeD="1"/>
</file>

<file path=xl/ctrlProps/ctrlProp45.xml><?xml version="1.0" encoding="utf-8"?>
<formControlPr xmlns="http://schemas.microsoft.com/office/spreadsheetml/2009/9/main" objectType="Radio" lockText="1" noThreeD="1"/>
</file>

<file path=xl/ctrlProps/ctrlProp46.xml><?xml version="1.0" encoding="utf-8"?>
<formControlPr xmlns="http://schemas.microsoft.com/office/spreadsheetml/2009/9/main" objectType="Radio" lockText="1" noThreeD="1"/>
</file>

<file path=xl/ctrlProps/ctrlProp47.xml><?xml version="1.0" encoding="utf-8"?>
<formControlPr xmlns="http://schemas.microsoft.com/office/spreadsheetml/2009/9/main" objectType="Radio" lockText="1" noThreeD="1"/>
</file>

<file path=xl/ctrlProps/ctrlProp48.xml><?xml version="1.0" encoding="utf-8"?>
<formControlPr xmlns="http://schemas.microsoft.com/office/spreadsheetml/2009/9/main" objectType="Radio" lockText="1" noThreeD="1"/>
</file>

<file path=xl/ctrlProps/ctrlProp49.xml><?xml version="1.0" encoding="utf-8"?>
<formControlPr xmlns="http://schemas.microsoft.com/office/spreadsheetml/2009/9/main" objectType="Radio" firstButton="1" fmlaLink="K11" lockText="1" noThreeD="1"/>
</file>

<file path=xl/ctrlProps/ctrlProp50.xml><?xml version="1.0" encoding="utf-8"?>
<formControlPr xmlns="http://schemas.microsoft.com/office/spreadsheetml/2009/9/main" objectType="Radio" lockText="1" noThreeD="1"/>
</file>

<file path=xl/ctrlProps/ctrlProp51.xml><?xml version="1.0" encoding="utf-8"?>
<formControlPr xmlns="http://schemas.microsoft.com/office/spreadsheetml/2009/9/main" objectType="Radio" checked="Checked" lockText="1" noThreeD="1"/>
</file>

<file path=xl/ctrlProps/ctrlProp52.xml><?xml version="1.0" encoding="utf-8"?>
<formControlPr xmlns="http://schemas.microsoft.com/office/spreadsheetml/2009/9/main" objectType="Radio" lockText="1" noThreeD="1"/>
</file>

<file path=xl/ctrlProps/ctrlProp53.xml><?xml version="1.0" encoding="utf-8"?>
<formControlPr xmlns="http://schemas.microsoft.com/office/spreadsheetml/2009/9/main" objectType="Radio" lockText="1" noThreeD="1"/>
</file>

<file path=xl/ctrlProps/ctrlProp54.xml><?xml version="1.0" encoding="utf-8"?>
<formControlPr xmlns="http://schemas.microsoft.com/office/spreadsheetml/2009/9/main" objectType="Radio" firstButton="1" fmlaLink="K14" lockText="1" noThreeD="1"/>
</file>

<file path=xl/ctrlProps/ctrlProp55.xml><?xml version="1.0" encoding="utf-8"?>
<formControlPr xmlns="http://schemas.microsoft.com/office/spreadsheetml/2009/9/main" objectType="Radio" lockText="1" noThreeD="1"/>
</file>

<file path=xl/ctrlProps/ctrlProp56.xml><?xml version="1.0" encoding="utf-8"?>
<formControlPr xmlns="http://schemas.microsoft.com/office/spreadsheetml/2009/9/main" objectType="Radio" lockText="1" noThreeD="1"/>
</file>

<file path=xl/ctrlProps/ctrlProp57.xml><?xml version="1.0" encoding="utf-8"?>
<formControlPr xmlns="http://schemas.microsoft.com/office/spreadsheetml/2009/9/main" objectType="Radio" lockText="1" noThreeD="1"/>
</file>

<file path=xl/ctrlProps/ctrlProp58.xml><?xml version="1.0" encoding="utf-8"?>
<formControlPr xmlns="http://schemas.microsoft.com/office/spreadsheetml/2009/9/main" objectType="Radio" checked="Checked" lockText="1" noThreeD="1"/>
</file>

<file path=xl/ctrlProps/ctrlProp59.xml><?xml version="1.0" encoding="utf-8"?>
<formControlPr xmlns="http://schemas.microsoft.com/office/spreadsheetml/2009/9/main" objectType="GBox" noThreeD="1"/>
</file>

<file path=xl/ctrlProps/ctrlProp60.xml><?xml version="1.0" encoding="utf-8"?>
<formControlPr xmlns="http://schemas.microsoft.com/office/spreadsheetml/2009/9/main" objectType="GBox" noThreeD="1"/>
</file>

<file path=xl/drawings/_rels/drawing1.xml.rels><?xml version="1.0" encoding="UTF-8" standalone="yes"?>
<Relationships xmlns="http://schemas.openxmlformats.org/package/2006/relationships"><Relationship Id="rId2" Type="http://schemas.openxmlformats.org/officeDocument/2006/relationships/hyperlink" Target="http://deq05/intranet/working/rulemaking/qcards/R-SummaryA3.pdf" TargetMode="External"/><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xdr:col>
      <xdr:colOff>114299</xdr:colOff>
      <xdr:row>2</xdr:row>
      <xdr:rowOff>85726</xdr:rowOff>
    </xdr:from>
    <xdr:to>
      <xdr:col>3</xdr:col>
      <xdr:colOff>276225</xdr:colOff>
      <xdr:row>3</xdr:row>
      <xdr:rowOff>161925</xdr:rowOff>
    </xdr:to>
    <xdr:pic>
      <xdr:nvPicPr>
        <xdr:cNvPr id="4" name="AgencyLogo" descr="panrg.tif"/>
        <xdr:cNvPicPr>
          <a:picLocks noChangeAspect="1"/>
        </xdr:cNvPicPr>
      </xdr:nvPicPr>
      <xdr:blipFill>
        <a:blip xmlns:r="http://schemas.openxmlformats.org/officeDocument/2006/relationships" r:embed="rId1" cstate="print"/>
        <a:srcRect/>
        <a:stretch>
          <a:fillRect/>
        </a:stretch>
      </xdr:blipFill>
      <xdr:spPr bwMode="auto">
        <a:xfrm>
          <a:off x="1381124" y="619126"/>
          <a:ext cx="466726" cy="971549"/>
        </a:xfrm>
        <a:prstGeom prst="rect">
          <a:avLst/>
        </a:prstGeom>
        <a:noFill/>
        <a:ln w="9525">
          <a:noFill/>
          <a:miter lim="800000"/>
          <a:headEnd/>
          <a:tailEnd/>
        </a:ln>
      </xdr:spPr>
    </xdr:pic>
    <xdr:clientData/>
  </xdr:twoCellAnchor>
  <xdr:twoCellAnchor>
    <xdr:from>
      <xdr:col>3</xdr:col>
      <xdr:colOff>371474</xdr:colOff>
      <xdr:row>2</xdr:row>
      <xdr:rowOff>127352</xdr:rowOff>
    </xdr:from>
    <xdr:to>
      <xdr:col>9</xdr:col>
      <xdr:colOff>276224</xdr:colOff>
      <xdr:row>3</xdr:row>
      <xdr:rowOff>140052</xdr:rowOff>
    </xdr:to>
    <xdr:sp macro="" textlink="">
      <xdr:nvSpPr>
        <xdr:cNvPr id="6" name="WordArt 830"/>
        <xdr:cNvSpPr>
          <a:spLocks noChangeArrowheads="1" noChangeShapeType="1" noTextEdit="1"/>
        </xdr:cNvSpPr>
      </xdr:nvSpPr>
      <xdr:spPr bwMode="auto">
        <a:xfrm>
          <a:off x="942974" y="660752"/>
          <a:ext cx="2657475" cy="669925"/>
        </a:xfrm>
        <a:prstGeom prst="rect">
          <a:avLst/>
        </a:prstGeom>
      </xdr:spPr>
      <xdr:txBody>
        <a:bodyPr wrap="none" fromWordArt="1">
          <a:prstTxWarp prst="textWave1">
            <a:avLst>
              <a:gd name="adj1" fmla="val 13005"/>
              <a:gd name="adj2" fmla="val 0"/>
            </a:avLst>
          </a:prstTxWarp>
        </a:bodyPr>
        <a:lstStyle/>
        <a:p>
          <a:pPr algn="ctr" rtl="0"/>
          <a:r>
            <a:rPr lang="en-US" sz="3600" kern="10" spc="0">
              <a:ln w="9525">
                <a:noFill/>
                <a:round/>
                <a:headEnd/>
                <a:tailEnd/>
              </a:ln>
              <a:gradFill rotWithShape="0">
                <a:gsLst>
                  <a:gs pos="0">
                    <a:srgbClr val="205867"/>
                  </a:gs>
                  <a:gs pos="100000">
                    <a:srgbClr val="009999"/>
                  </a:gs>
                </a:gsLst>
                <a:lin ang="5400000" scaled="1"/>
              </a:gradFill>
              <a:effectLst>
                <a:outerShdw dist="53882" dir="2700000" algn="ctr" rotWithShape="0">
                  <a:srgbClr val="C0C0C0">
                    <a:alpha val="80000"/>
                  </a:srgbClr>
                </a:outerShdw>
              </a:effectLst>
              <a:latin typeface="Times New Roman"/>
              <a:cs typeface="Times New Roman"/>
            </a:rPr>
            <a:t>Resources</a:t>
          </a:r>
        </a:p>
      </xdr:txBody>
    </xdr:sp>
    <xdr:clientData/>
  </xdr:twoCellAnchor>
  <xdr:twoCellAnchor editAs="oneCell">
    <xdr:from>
      <xdr:col>19</xdr:col>
      <xdr:colOff>238125</xdr:colOff>
      <xdr:row>1</xdr:row>
      <xdr:rowOff>72118</xdr:rowOff>
    </xdr:from>
    <xdr:to>
      <xdr:col>19</xdr:col>
      <xdr:colOff>2105025</xdr:colOff>
      <xdr:row>2</xdr:row>
      <xdr:rowOff>628650</xdr:rowOff>
    </xdr:to>
    <xdr:sp macro="" textlink="" fLocksText="0">
      <xdr:nvSpPr>
        <xdr:cNvPr id="5" name="Line Callout 1 4"/>
        <xdr:cNvSpPr/>
      </xdr:nvSpPr>
      <xdr:spPr>
        <a:xfrm flipH="1">
          <a:off x="8343900" y="338818"/>
          <a:ext cx="1866900" cy="823232"/>
        </a:xfrm>
        <a:prstGeom prst="borderCallout1">
          <a:avLst>
            <a:gd name="adj1" fmla="val 623"/>
            <a:gd name="adj2" fmla="val 100089"/>
            <a:gd name="adj3" fmla="val 92375"/>
            <a:gd name="adj4" fmla="val 103217"/>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Your name</a:t>
          </a: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twoCellAnchor>
    <xdr:from>
      <xdr:col>2</xdr:col>
      <xdr:colOff>47625</xdr:colOff>
      <xdr:row>1</xdr:row>
      <xdr:rowOff>47625</xdr:rowOff>
    </xdr:from>
    <xdr:to>
      <xdr:col>2</xdr:col>
      <xdr:colOff>247650</xdr:colOff>
      <xdr:row>1</xdr:row>
      <xdr:rowOff>238125</xdr:rowOff>
    </xdr:to>
    <xdr:sp macro="" textlink="">
      <xdr:nvSpPr>
        <xdr:cNvPr id="8" name="Rectangle 7">
          <a:hlinkClick xmlns:r="http://schemas.openxmlformats.org/officeDocument/2006/relationships" r:id="rId2"/>
        </xdr:cNvPr>
        <xdr:cNvSpPr/>
      </xdr:nvSpPr>
      <xdr:spPr>
        <a:xfrm>
          <a:off x="1314450" y="314325"/>
          <a:ext cx="200025" cy="190500"/>
        </a:xfrm>
        <a:prstGeom prst="rect">
          <a:avLst/>
        </a:prstGeom>
        <a:solidFill>
          <a:srgbClr val="F56413"/>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100" b="1" i="1">
              <a:solidFill>
                <a:schemeClr val="bg1"/>
              </a:solidFill>
              <a:latin typeface="Arial" pitchFamily="34" charset="0"/>
              <a:cs typeface="Arial" pitchFamily="34" charset="0"/>
            </a:rPr>
            <a:t>Q</a:t>
          </a: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21</xdr:col>
      <xdr:colOff>118531</xdr:colOff>
      <xdr:row>1</xdr:row>
      <xdr:rowOff>67732</xdr:rowOff>
    </xdr:from>
    <xdr:to>
      <xdr:col>21</xdr:col>
      <xdr:colOff>1871133</xdr:colOff>
      <xdr:row>5</xdr:row>
      <xdr:rowOff>49740</xdr:rowOff>
    </xdr:to>
    <xdr:sp macro="" textlink="" fLocksText="0">
      <xdr:nvSpPr>
        <xdr:cNvPr id="3" name="Line Callout 1 2"/>
        <xdr:cNvSpPr/>
      </xdr:nvSpPr>
      <xdr:spPr>
        <a:xfrm flipH="1">
          <a:off x="6781798" y="262465"/>
          <a:ext cx="1752602" cy="1151467"/>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11.xml><?xml version="1.0" encoding="utf-8"?>
<xdr:wsDr xmlns:xdr="http://schemas.openxmlformats.org/drawingml/2006/spreadsheetDrawing" xmlns:a="http://schemas.openxmlformats.org/drawingml/2006/main">
  <xdr:twoCellAnchor editAs="oneCell">
    <xdr:from>
      <xdr:col>21</xdr:col>
      <xdr:colOff>171450</xdr:colOff>
      <xdr:row>1</xdr:row>
      <xdr:rowOff>114300</xdr:rowOff>
    </xdr:from>
    <xdr:to>
      <xdr:col>21</xdr:col>
      <xdr:colOff>1924052</xdr:colOff>
      <xdr:row>5</xdr:row>
      <xdr:rowOff>96308</xdr:rowOff>
    </xdr:to>
    <xdr:sp macro="" textlink="" fLocksText="0">
      <xdr:nvSpPr>
        <xdr:cNvPr id="2" name="Line Callout 1 1"/>
        <xdr:cNvSpPr/>
      </xdr:nvSpPr>
      <xdr:spPr>
        <a:xfrm flipH="1">
          <a:off x="7724775" y="371475"/>
          <a:ext cx="1752602" cy="1134533"/>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12.xml><?xml version="1.0" encoding="utf-8"?>
<xdr:wsDr xmlns:xdr="http://schemas.openxmlformats.org/drawingml/2006/spreadsheetDrawing" xmlns:a="http://schemas.openxmlformats.org/drawingml/2006/main">
  <xdr:twoCellAnchor editAs="oneCell">
    <xdr:from>
      <xdr:col>21</xdr:col>
      <xdr:colOff>123824</xdr:colOff>
      <xdr:row>1</xdr:row>
      <xdr:rowOff>47625</xdr:rowOff>
    </xdr:from>
    <xdr:to>
      <xdr:col>21</xdr:col>
      <xdr:colOff>1943099</xdr:colOff>
      <xdr:row>4</xdr:row>
      <xdr:rowOff>225425</xdr:rowOff>
    </xdr:to>
    <xdr:sp macro="" textlink="" fLocksText="0">
      <xdr:nvSpPr>
        <xdr:cNvPr id="2" name="Line Callout 1 1"/>
        <xdr:cNvSpPr/>
      </xdr:nvSpPr>
      <xdr:spPr>
        <a:xfrm flipH="1">
          <a:off x="8715374" y="304800"/>
          <a:ext cx="1819275" cy="1073150"/>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13.xml><?xml version="1.0" encoding="utf-8"?>
<xdr:wsDr xmlns:xdr="http://schemas.openxmlformats.org/drawingml/2006/spreadsheetDrawing" xmlns:a="http://schemas.openxmlformats.org/drawingml/2006/main">
  <xdr:twoCellAnchor editAs="oneCell">
    <xdr:from>
      <xdr:col>21</xdr:col>
      <xdr:colOff>118531</xdr:colOff>
      <xdr:row>1</xdr:row>
      <xdr:rowOff>67732</xdr:rowOff>
    </xdr:from>
    <xdr:to>
      <xdr:col>21</xdr:col>
      <xdr:colOff>1914525</xdr:colOff>
      <xdr:row>4</xdr:row>
      <xdr:rowOff>106890</xdr:rowOff>
    </xdr:to>
    <xdr:sp macro="" textlink="" fLocksText="0">
      <xdr:nvSpPr>
        <xdr:cNvPr id="2" name="Line Callout 1 1"/>
        <xdr:cNvSpPr/>
      </xdr:nvSpPr>
      <xdr:spPr>
        <a:xfrm flipH="1">
          <a:off x="7662331" y="324907"/>
          <a:ext cx="1795994" cy="934508"/>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14.xml><?xml version="1.0" encoding="utf-8"?>
<xdr:wsDr xmlns:xdr="http://schemas.openxmlformats.org/drawingml/2006/spreadsheetDrawing" xmlns:a="http://schemas.openxmlformats.org/drawingml/2006/main">
  <xdr:twoCellAnchor editAs="oneCell">
    <xdr:from>
      <xdr:col>21</xdr:col>
      <xdr:colOff>190500</xdr:colOff>
      <xdr:row>2</xdr:row>
      <xdr:rowOff>67731</xdr:rowOff>
    </xdr:from>
    <xdr:to>
      <xdr:col>21</xdr:col>
      <xdr:colOff>2228850</xdr:colOff>
      <xdr:row>6</xdr:row>
      <xdr:rowOff>161924</xdr:rowOff>
    </xdr:to>
    <xdr:sp macro="" textlink="" fLocksText="0">
      <xdr:nvSpPr>
        <xdr:cNvPr id="2" name="Line Callout 1 1"/>
        <xdr:cNvSpPr/>
      </xdr:nvSpPr>
      <xdr:spPr>
        <a:xfrm flipH="1">
          <a:off x="8353425" y="296331"/>
          <a:ext cx="2038350" cy="970493"/>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15.xml><?xml version="1.0" encoding="utf-8"?>
<xdr:wsDr xmlns:xdr="http://schemas.openxmlformats.org/drawingml/2006/spreadsheetDrawing" xmlns:a="http://schemas.openxmlformats.org/drawingml/2006/main">
  <xdr:twoCellAnchor editAs="oneCell">
    <xdr:from>
      <xdr:col>21</xdr:col>
      <xdr:colOff>200024</xdr:colOff>
      <xdr:row>1</xdr:row>
      <xdr:rowOff>133350</xdr:rowOff>
    </xdr:from>
    <xdr:to>
      <xdr:col>21</xdr:col>
      <xdr:colOff>2171699</xdr:colOff>
      <xdr:row>5</xdr:row>
      <xdr:rowOff>115358</xdr:rowOff>
    </xdr:to>
    <xdr:sp macro="" textlink="" fLocksText="0">
      <xdr:nvSpPr>
        <xdr:cNvPr id="2" name="Line Callout 1 1"/>
        <xdr:cNvSpPr/>
      </xdr:nvSpPr>
      <xdr:spPr>
        <a:xfrm flipH="1">
          <a:off x="8362949" y="390525"/>
          <a:ext cx="1971675" cy="1134533"/>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16.xml><?xml version="1.0" encoding="utf-8"?>
<xdr:wsDr xmlns:xdr="http://schemas.openxmlformats.org/drawingml/2006/spreadsheetDrawing" xmlns:a="http://schemas.openxmlformats.org/drawingml/2006/main">
  <xdr:twoCellAnchor editAs="oneCell">
    <xdr:from>
      <xdr:col>21</xdr:col>
      <xdr:colOff>219075</xdr:colOff>
      <xdr:row>1</xdr:row>
      <xdr:rowOff>66675</xdr:rowOff>
    </xdr:from>
    <xdr:to>
      <xdr:col>22</xdr:col>
      <xdr:colOff>1781174</xdr:colOff>
      <xdr:row>5</xdr:row>
      <xdr:rowOff>172508</xdr:rowOff>
    </xdr:to>
    <xdr:sp macro="" textlink="" fLocksText="0">
      <xdr:nvSpPr>
        <xdr:cNvPr id="2" name="Line Callout 1 1"/>
        <xdr:cNvSpPr/>
      </xdr:nvSpPr>
      <xdr:spPr>
        <a:xfrm flipH="1">
          <a:off x="9096375" y="323850"/>
          <a:ext cx="1952624" cy="1258358"/>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17.xml><?xml version="1.0" encoding="utf-8"?>
<xdr:wsDr xmlns:xdr="http://schemas.openxmlformats.org/drawingml/2006/spreadsheetDrawing" xmlns:a="http://schemas.openxmlformats.org/drawingml/2006/main">
  <xdr:twoCellAnchor editAs="oneCell">
    <xdr:from>
      <xdr:col>22</xdr:col>
      <xdr:colOff>28574</xdr:colOff>
      <xdr:row>1</xdr:row>
      <xdr:rowOff>133350</xdr:rowOff>
    </xdr:from>
    <xdr:to>
      <xdr:col>23</xdr:col>
      <xdr:colOff>1533524</xdr:colOff>
      <xdr:row>5</xdr:row>
      <xdr:rowOff>115358</xdr:rowOff>
    </xdr:to>
    <xdr:sp macro="" textlink="" fLocksText="0">
      <xdr:nvSpPr>
        <xdr:cNvPr id="2" name="Line Callout 1 1"/>
        <xdr:cNvSpPr/>
      </xdr:nvSpPr>
      <xdr:spPr>
        <a:xfrm flipH="1">
          <a:off x="9153524" y="390525"/>
          <a:ext cx="1895475" cy="1134533"/>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2.xml><?xml version="1.0" encoding="utf-8"?>
<xdr:wsDr xmlns:xdr="http://schemas.openxmlformats.org/drawingml/2006/spreadsheetDrawing" xmlns:a="http://schemas.openxmlformats.org/drawingml/2006/main">
  <xdr:twoCellAnchor editAs="oneCell">
    <xdr:from>
      <xdr:col>24</xdr:col>
      <xdr:colOff>85724</xdr:colOff>
      <xdr:row>0</xdr:row>
      <xdr:rowOff>95250</xdr:rowOff>
    </xdr:from>
    <xdr:to>
      <xdr:col>24</xdr:col>
      <xdr:colOff>2076449</xdr:colOff>
      <xdr:row>4</xdr:row>
      <xdr:rowOff>76200</xdr:rowOff>
    </xdr:to>
    <xdr:sp macro="" textlink="" fLocksText="0">
      <xdr:nvSpPr>
        <xdr:cNvPr id="6" name="Line Callout 1 5"/>
        <xdr:cNvSpPr/>
      </xdr:nvSpPr>
      <xdr:spPr>
        <a:xfrm flipH="1">
          <a:off x="8705849" y="95250"/>
          <a:ext cx="1990725" cy="1076325"/>
        </a:xfrm>
        <a:prstGeom prst="borderCallout1">
          <a:avLst>
            <a:gd name="adj1" fmla="val 623"/>
            <a:gd name="adj2" fmla="val 100089"/>
            <a:gd name="adj3" fmla="val 86590"/>
            <a:gd name="adj4" fmla="val 109850"/>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Your name</a:t>
          </a: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3.xml><?xml version="1.0" encoding="utf-8"?>
<xdr:wsDr xmlns:xdr="http://schemas.openxmlformats.org/drawingml/2006/spreadsheetDrawing" xmlns:a="http://schemas.openxmlformats.org/drawingml/2006/main">
  <xdr:twoCellAnchor editAs="oneCell">
    <xdr:from>
      <xdr:col>14</xdr:col>
      <xdr:colOff>295270</xdr:colOff>
      <xdr:row>2</xdr:row>
      <xdr:rowOff>0</xdr:rowOff>
    </xdr:from>
    <xdr:to>
      <xdr:col>14</xdr:col>
      <xdr:colOff>2238369</xdr:colOff>
      <xdr:row>4</xdr:row>
      <xdr:rowOff>390526</xdr:rowOff>
    </xdr:to>
    <xdr:sp macro="" textlink="" fLocksText="0">
      <xdr:nvSpPr>
        <xdr:cNvPr id="25" name="Line Callout 1 24"/>
        <xdr:cNvSpPr/>
      </xdr:nvSpPr>
      <xdr:spPr>
        <a:xfrm flipH="1">
          <a:off x="8601070" y="638174"/>
          <a:ext cx="1943099" cy="904876"/>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4.xml><?xml version="1.0" encoding="utf-8"?>
<xdr:wsDr xmlns:xdr="http://schemas.openxmlformats.org/drawingml/2006/spreadsheetDrawing" xmlns:a="http://schemas.openxmlformats.org/drawingml/2006/main">
  <xdr:twoCellAnchor editAs="oneCell">
    <xdr:from>
      <xdr:col>21</xdr:col>
      <xdr:colOff>200024</xdr:colOff>
      <xdr:row>1</xdr:row>
      <xdr:rowOff>9525</xdr:rowOff>
    </xdr:from>
    <xdr:to>
      <xdr:col>21</xdr:col>
      <xdr:colOff>2171699</xdr:colOff>
      <xdr:row>4</xdr:row>
      <xdr:rowOff>244475</xdr:rowOff>
    </xdr:to>
    <xdr:sp macro="" textlink="" fLocksText="0">
      <xdr:nvSpPr>
        <xdr:cNvPr id="2" name="Line Callout 1 1"/>
        <xdr:cNvSpPr/>
      </xdr:nvSpPr>
      <xdr:spPr>
        <a:xfrm flipH="1">
          <a:off x="8381999" y="266700"/>
          <a:ext cx="1971675" cy="1130300"/>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5.xml><?xml version="1.0" encoding="utf-8"?>
<xdr:wsDr xmlns:xdr="http://schemas.openxmlformats.org/drawingml/2006/spreadsheetDrawing" xmlns:a="http://schemas.openxmlformats.org/drawingml/2006/main">
  <xdr:twoCellAnchor editAs="oneCell">
    <xdr:from>
      <xdr:col>21</xdr:col>
      <xdr:colOff>257173</xdr:colOff>
      <xdr:row>1</xdr:row>
      <xdr:rowOff>104775</xdr:rowOff>
    </xdr:from>
    <xdr:to>
      <xdr:col>21</xdr:col>
      <xdr:colOff>2276474</xdr:colOff>
      <xdr:row>5</xdr:row>
      <xdr:rowOff>82550</xdr:rowOff>
    </xdr:to>
    <xdr:sp macro="" textlink="" fLocksText="0">
      <xdr:nvSpPr>
        <xdr:cNvPr id="2" name="Line Callout 1 1"/>
        <xdr:cNvSpPr/>
      </xdr:nvSpPr>
      <xdr:spPr>
        <a:xfrm flipH="1">
          <a:off x="8810623" y="361950"/>
          <a:ext cx="2019301" cy="1130300"/>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6.xml><?xml version="1.0" encoding="utf-8"?>
<xdr:wsDr xmlns:xdr="http://schemas.openxmlformats.org/drawingml/2006/spreadsheetDrawing" xmlns:a="http://schemas.openxmlformats.org/drawingml/2006/main">
  <xdr:twoCellAnchor editAs="oneCell">
    <xdr:from>
      <xdr:col>23</xdr:col>
      <xdr:colOff>200025</xdr:colOff>
      <xdr:row>1</xdr:row>
      <xdr:rowOff>9524</xdr:rowOff>
    </xdr:from>
    <xdr:to>
      <xdr:col>23</xdr:col>
      <xdr:colOff>2189607</xdr:colOff>
      <xdr:row>4</xdr:row>
      <xdr:rowOff>76200</xdr:rowOff>
    </xdr:to>
    <xdr:sp macro="" textlink="" fLocksText="0">
      <xdr:nvSpPr>
        <xdr:cNvPr id="3" name="Line Callout 1 2"/>
        <xdr:cNvSpPr/>
      </xdr:nvSpPr>
      <xdr:spPr>
        <a:xfrm flipH="1">
          <a:off x="8591550" y="266699"/>
          <a:ext cx="1989582" cy="962026"/>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7.xml><?xml version="1.0" encoding="utf-8"?>
<xdr:wsDr xmlns:xdr="http://schemas.openxmlformats.org/drawingml/2006/spreadsheetDrawing" xmlns:a="http://schemas.openxmlformats.org/drawingml/2006/main">
  <xdr:twoCellAnchor editAs="oneCell">
    <xdr:from>
      <xdr:col>23</xdr:col>
      <xdr:colOff>133350</xdr:colOff>
      <xdr:row>1</xdr:row>
      <xdr:rowOff>85725</xdr:rowOff>
    </xdr:from>
    <xdr:to>
      <xdr:col>23</xdr:col>
      <xdr:colOff>2171700</xdr:colOff>
      <xdr:row>5</xdr:row>
      <xdr:rowOff>63500</xdr:rowOff>
    </xdr:to>
    <xdr:sp macro="" textlink="" fLocksText="0">
      <xdr:nvSpPr>
        <xdr:cNvPr id="2" name="Line Callout 1 1"/>
        <xdr:cNvSpPr/>
      </xdr:nvSpPr>
      <xdr:spPr>
        <a:xfrm flipH="1">
          <a:off x="12230100" y="342900"/>
          <a:ext cx="2038350" cy="1130300"/>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8.xml><?xml version="1.0" encoding="utf-8"?>
<xdr:wsDr xmlns:xdr="http://schemas.openxmlformats.org/drawingml/2006/spreadsheetDrawing" xmlns:a="http://schemas.openxmlformats.org/drawingml/2006/main">
  <xdr:twoCellAnchor editAs="oneCell">
    <xdr:from>
      <xdr:col>0</xdr:col>
      <xdr:colOff>152400</xdr:colOff>
      <xdr:row>0</xdr:row>
      <xdr:rowOff>123825</xdr:rowOff>
    </xdr:from>
    <xdr:to>
      <xdr:col>0</xdr:col>
      <xdr:colOff>628650</xdr:colOff>
      <xdr:row>0</xdr:row>
      <xdr:rowOff>1123950</xdr:rowOff>
    </xdr:to>
    <xdr:pic>
      <xdr:nvPicPr>
        <xdr:cNvPr id="2" name="AgencyLogo" descr="panrg.tif"/>
        <xdr:cNvPicPr>
          <a:picLocks noChangeAspect="1"/>
        </xdr:cNvPicPr>
      </xdr:nvPicPr>
      <xdr:blipFill>
        <a:blip xmlns:r="http://schemas.openxmlformats.org/officeDocument/2006/relationships" r:embed="rId1" cstate="print"/>
        <a:srcRect/>
        <a:stretch>
          <a:fillRect/>
        </a:stretch>
      </xdr:blipFill>
      <xdr:spPr bwMode="auto">
        <a:xfrm>
          <a:off x="152400" y="123825"/>
          <a:ext cx="476250" cy="1000125"/>
        </a:xfrm>
        <a:prstGeom prst="rect">
          <a:avLst/>
        </a:prstGeom>
        <a:noFill/>
        <a:ln w="9525">
          <a:noFill/>
          <a:miter lim="800000"/>
          <a:headEnd/>
          <a:tailEnd/>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21</xdr:col>
      <xdr:colOff>152400</xdr:colOff>
      <xdr:row>1</xdr:row>
      <xdr:rowOff>95250</xdr:rowOff>
    </xdr:from>
    <xdr:to>
      <xdr:col>21</xdr:col>
      <xdr:colOff>1905002</xdr:colOff>
      <xdr:row>5</xdr:row>
      <xdr:rowOff>73025</xdr:rowOff>
    </xdr:to>
    <xdr:sp macro="" textlink="" fLocksText="0">
      <xdr:nvSpPr>
        <xdr:cNvPr id="2" name="Line Callout 1 1"/>
        <xdr:cNvSpPr/>
      </xdr:nvSpPr>
      <xdr:spPr>
        <a:xfrm flipH="1">
          <a:off x="8724900" y="352425"/>
          <a:ext cx="1752602" cy="1130300"/>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tables/table1.xml><?xml version="1.0" encoding="utf-8"?>
<table xmlns="http://schemas.openxmlformats.org/spreadsheetml/2006/main" id="1" name="Table1" displayName="Table1" ref="A2:AI314" totalsRowShown="0" headerRowDxfId="2670">
  <autoFilter ref="A2:AI314">
    <filterColumn colId="8"/>
  </autoFilter>
  <tableColumns count="35">
    <tableColumn id="1" name="Version" dataDxfId="2669"/>
    <tableColumn id="2" name="Error ID" dataDxfId="2668"/>
    <tableColumn id="3" name="Date" dataDxfId="2667"/>
    <tableColumn id="4" name="Staff"/>
    <tableColumn id="5" name="Worksheet"/>
    <tableColumn id="6" name="Cell" dataDxfId="2666"/>
    <tableColumn id="7" name="Problem" dataDxfId="2665"/>
    <tableColumn id="8" name="Solution" dataDxfId="2664"/>
    <tableColumn id="35" name="Staff2" dataDxfId="2663">
      <calculatedColumnFormula>Table1[[#This Row],[Staff]]</calculatedColumnFormula>
    </tableColumn>
    <tableColumn id="9" name="Date2" dataDxfId="2662">
      <calculatedColumnFormula>Table1[[#This Row],[Date]]</calculatedColumnFormula>
    </tableColumn>
    <tableColumn id="10" name="Base" dataDxfId="2661"/>
    <tableColumn id="11" name="All" dataDxfId="2660"/>
    <tableColumn id="12" name="1"/>
    <tableColumn id="13" name="2"/>
    <tableColumn id="14" name="3"/>
    <tableColumn id="15" name="4"/>
    <tableColumn id="16" name="5"/>
    <tableColumn id="17" name="6"/>
    <tableColumn id="18" name="7"/>
    <tableColumn id="19" name="8"/>
    <tableColumn id="20" name="9"/>
    <tableColumn id="21" name="10"/>
    <tableColumn id="22" name="11"/>
    <tableColumn id="23" name="12"/>
    <tableColumn id="24" name="13"/>
    <tableColumn id="25" name="14"/>
    <tableColumn id="26" name="15"/>
    <tableColumn id="27" name="16"/>
    <tableColumn id="28" name="17"/>
    <tableColumn id="29" name="18"/>
    <tableColumn id="30" name="19"/>
    <tableColumn id="31" name="20" dataDxfId="2659"/>
    <tableColumn id="32" name="21" dataDxfId="2658"/>
    <tableColumn id="33" name="22" dataDxfId="2657"/>
    <tableColumn id="34" name="23" dataDxfId="2656"/>
  </tableColumns>
  <tableStyleInfo name="TableStyleMedium9" showFirstColumn="0" showLastColumn="0" showRowStripes="1" showColumnStripes="0"/>
</table>
</file>

<file path=xl/tables/table2.xml><?xml version="1.0" encoding="utf-8"?>
<table xmlns="http://schemas.openxmlformats.org/spreadsheetml/2006/main" id="3" name="Table3" displayName="Table3" ref="A2:BC296" totalsRowShown="0" headerRowDxfId="2535">
  <autoFilter ref="A2:BC296">
    <filterColumn colId="0"/>
    <filterColumn colId="1"/>
    <filterColumn colId="6"/>
    <filterColumn colId="7"/>
    <filterColumn colId="8"/>
    <filterColumn colId="9"/>
    <filterColumn colId="11"/>
    <filterColumn colId="24"/>
    <filterColumn colId="25"/>
    <filterColumn colId="26"/>
    <filterColumn colId="27"/>
    <filterColumn colId="28"/>
    <filterColumn colId="29"/>
    <filterColumn colId="30"/>
    <filterColumn colId="31"/>
    <filterColumn colId="32"/>
    <filterColumn colId="33"/>
    <filterColumn colId="35"/>
    <filterColumn colId="36"/>
    <filterColumn colId="37"/>
    <filterColumn colId="38"/>
    <filterColumn colId="39"/>
    <filterColumn colId="40"/>
    <filterColumn colId="41"/>
    <filterColumn colId="42"/>
    <filterColumn colId="43"/>
    <filterColumn colId="44"/>
    <filterColumn colId="45"/>
    <filterColumn colId="46"/>
    <filterColumn colId="47"/>
    <filterColumn colId="48"/>
    <filterColumn colId="49"/>
    <filterColumn colId="50"/>
    <filterColumn colId="52"/>
    <filterColumn colId="53"/>
    <filterColumn colId="54"/>
  </autoFilter>
  <tableColumns count="55">
    <tableColumn id="26" name="Media" dataDxfId="2534">
      <calculatedColumnFormula>R.1Division</calculatedColumnFormula>
    </tableColumn>
    <tableColumn id="28" name="RM Name2" dataDxfId="2533">
      <calculatedColumnFormula>R.1CodeName</calculatedColumnFormula>
    </tableColumn>
    <tableColumn id="2" name="Worksheet" dataDxfId="2532"/>
    <tableColumn id="4" name="Role/Group" dataDxfId="2531"/>
    <tableColumn id="5" name="Phase" dataDxfId="2530"/>
    <tableColumn id="6" name="Staff" dataDxfId="2529">
      <calculatedColumnFormula>R.3PAname</calculatedColumnFormula>
    </tableColumn>
    <tableColumn id="25" name="Hrs Rank" dataDxfId="2528"/>
    <tableColumn id="24" name="Hrs" dataDxfId="2527">
      <calculatedColumnFormula>Table3[[#This Row],[Hrs Rank]]</calculatedColumnFormula>
    </tableColumn>
    <tableColumn id="55" name="Minimum Hrs" dataDxfId="2526">
      <calculatedColumnFormula>IF(ISNA(VLOOKUP($H3,R.VL_DEQResourceHours,2,FALSE)),0,VLOOKUP($H3,R.VL_DEQResourceHours,2,FALSE))</calculatedColumnFormula>
    </tableColumn>
    <tableColumn id="54" name="Maximum Hrs" dataDxfId="2525">
      <calculatedColumnFormula>IF(ISNA(VLOOKUP($H3,R.VL_DEQResourceHours,3,FALSE)),0,VLOOKUP($H3,R.VL_DEQResourceHours,3,FALSE))</calculatedColumnFormula>
    </tableColumn>
    <tableColumn id="9" name="Competing projects" dataDxfId="2524"/>
    <tableColumn id="27" name="Work off plate" dataDxfId="2523"/>
    <tableColumn id="10" name="In PD" dataDxfId="2522"/>
    <tableColumn id="11" name="In Work Plan" dataDxfId="2521"/>
    <tableColumn id="12" name="2012.11" dataDxfId="2520"/>
    <tableColumn id="13" name="2012.12" dataDxfId="2519"/>
    <tableColumn id="14" name="2013.01" dataDxfId="2518"/>
    <tableColumn id="15" name="2013.02" dataDxfId="2517"/>
    <tableColumn id="16" name="2013.03" dataDxfId="2516"/>
    <tableColumn id="17" name="2013.04" dataDxfId="2515"/>
    <tableColumn id="18" name="2013.05" dataDxfId="2514"/>
    <tableColumn id="19" name="2013.06" dataDxfId="2513"/>
    <tableColumn id="20" name="2013.07" dataDxfId="2512"/>
    <tableColumn id="21" name="2013.08" dataDxfId="2511"/>
    <tableColumn id="29" name="2013.09" dataDxfId="2510"/>
    <tableColumn id="30" name="2013.10" dataDxfId="2509"/>
    <tableColumn id="31" name="2013.11" dataDxfId="2508"/>
    <tableColumn id="3" name="2013.12" dataDxfId="2507"/>
    <tableColumn id="7" name="2014.01" dataDxfId="2506"/>
    <tableColumn id="8" name="2014.02" dataDxfId="2505"/>
    <tableColumn id="1" name="2014.03" dataDxfId="2504"/>
    <tableColumn id="32" name="2014.04" dataDxfId="2503"/>
    <tableColumn id="33" name="2014.05" dataDxfId="2502"/>
    <tableColumn id="34" name="2014.06" dataDxfId="2501"/>
    <tableColumn id="22" name="2014.07" dataDxfId="2500"/>
    <tableColumn id="43" name="2014.08" dataDxfId="2499"/>
    <tableColumn id="44" name="2014.09" dataDxfId="2498"/>
    <tableColumn id="41" name="2014.10" dataDxfId="2497"/>
    <tableColumn id="42" name="2014.11" dataDxfId="2496"/>
    <tableColumn id="39" name="2014.12" dataDxfId="2495"/>
    <tableColumn id="40" name="2015.01" dataDxfId="2494"/>
    <tableColumn id="37" name="2015.02" dataDxfId="2493"/>
    <tableColumn id="38" name="2015.03" dataDxfId="2492"/>
    <tableColumn id="35" name="2015.04" dataDxfId="2491"/>
    <tableColumn id="48" name="2015.05" dataDxfId="2490"/>
    <tableColumn id="49" name="2015.06" dataDxfId="2489"/>
    <tableColumn id="50" name="2015.07" dataDxfId="2488"/>
    <tableColumn id="45" name="2015.08" dataDxfId="2487"/>
    <tableColumn id="46" name="2015.09" dataDxfId="2486"/>
    <tableColumn id="47" name="2015.10" dataDxfId="2485"/>
    <tableColumn id="36" name="2015.11" dataDxfId="2484"/>
    <tableColumn id="23" name="2015.12" dataDxfId="2483"/>
    <tableColumn id="52" name="2016.01" dataDxfId="2482"/>
    <tableColumn id="51" name="2016.02" dataDxfId="2481"/>
    <tableColumn id="53" name="2016.03" dataDxfId="2480"/>
  </tableColumns>
  <tableStyleInfo name="TableStyleMedium9" showFirstColumn="0" showLastColumn="0" showRowStripes="1" showColumnStripes="0"/>
</table>
</file>

<file path=xl/theme/theme1.xml><?xml version="1.0" encoding="utf-8"?>
<a:theme xmlns:a="http://schemas.openxmlformats.org/drawingml/2006/main" name="Technic">
  <a:themeElements>
    <a:clrScheme name="Technic">
      <a:dk1>
        <a:sysClr val="windowText" lastClr="000000"/>
      </a:dk1>
      <a:lt1>
        <a:sysClr val="window" lastClr="FFFFFF"/>
      </a:lt1>
      <a:dk2>
        <a:srgbClr val="3B3B3B"/>
      </a:dk2>
      <a:lt2>
        <a:srgbClr val="D4D2D0"/>
      </a:lt2>
      <a:accent1>
        <a:srgbClr val="6EA0B0"/>
      </a:accent1>
      <a:accent2>
        <a:srgbClr val="CCAF0A"/>
      </a:accent2>
      <a:accent3>
        <a:srgbClr val="8D89A4"/>
      </a:accent3>
      <a:accent4>
        <a:srgbClr val="748560"/>
      </a:accent4>
      <a:accent5>
        <a:srgbClr val="9E9273"/>
      </a:accent5>
      <a:accent6>
        <a:srgbClr val="7E848D"/>
      </a:accent6>
      <a:hlink>
        <a:srgbClr val="00C8C3"/>
      </a:hlink>
      <a:folHlink>
        <a:srgbClr val="A116E0"/>
      </a:folHlink>
    </a:clrScheme>
    <a:fontScheme name="Office 2">
      <a:majorFont>
        <a:latin typeface="Calibri"/>
        <a:ea typeface=""/>
        <a:cs typeface=""/>
        <a:font script="Jpan" typeface="HGｺﾞｼｯｸM"/>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majorFont>
      <a:minorFont>
        <a:latin typeface="Cambria"/>
        <a:ea typeface=""/>
        <a:cs typeface=""/>
        <a:font script="Jpan" typeface="HG明朝B"/>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inorFont>
    </a:fontScheme>
    <a:fmtScheme name="Verve">
      <a:fillStyleLst>
        <a:solidFill>
          <a:schemeClr val="phClr"/>
        </a:solidFill>
        <a:gradFill rotWithShape="1">
          <a:gsLst>
            <a:gs pos="0">
              <a:schemeClr val="phClr">
                <a:tint val="10000"/>
                <a:satMod val="300000"/>
              </a:schemeClr>
            </a:gs>
            <a:gs pos="34000">
              <a:schemeClr val="phClr">
                <a:tint val="13500"/>
                <a:satMod val="250000"/>
              </a:schemeClr>
            </a:gs>
            <a:gs pos="100000">
              <a:schemeClr val="phClr">
                <a:tint val="60000"/>
                <a:satMod val="200000"/>
              </a:schemeClr>
            </a:gs>
          </a:gsLst>
          <a:path path="circle">
            <a:fillToRect l="50000" t="155000" r="50000" b="-55000"/>
          </a:path>
        </a:gradFill>
        <a:gradFill rotWithShape="1">
          <a:gsLst>
            <a:gs pos="0">
              <a:schemeClr val="phClr">
                <a:tint val="60000"/>
                <a:satMod val="160000"/>
              </a:schemeClr>
            </a:gs>
            <a:gs pos="46000">
              <a:schemeClr val="phClr">
                <a:tint val="86000"/>
                <a:satMod val="160000"/>
              </a:schemeClr>
            </a:gs>
            <a:gs pos="100000">
              <a:schemeClr val="phClr">
                <a:shade val="40000"/>
                <a:satMod val="160000"/>
              </a:schemeClr>
            </a:gs>
          </a:gsLst>
          <a:path path="circle">
            <a:fillToRect l="50000" t="155000" r="50000" b="-55000"/>
          </a:path>
        </a:gradFill>
      </a:fillStyleLst>
      <a:lnStyleLst>
        <a:ln w="9525" cap="flat" cmpd="sng" algn="ctr">
          <a:solidFill>
            <a:schemeClr val="phClr">
              <a:satMod val="120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63500" dist="25400" dir="14700000" algn="t" rotWithShape="0">
              <a:srgbClr val="000000">
                <a:alpha val="50000"/>
              </a:srgbClr>
            </a:outerShdw>
          </a:effectLst>
        </a:effectStyle>
        <a:effectStyle>
          <a:effectLst>
            <a:outerShdw blurRad="50800" dist="38100" dir="14700000" algn="t" rotWithShape="0">
              <a:srgbClr val="000000">
                <a:alpha val="60000"/>
              </a:srgbClr>
            </a:outerShdw>
          </a:effectLst>
        </a:effectStyle>
        <a:effectStyle>
          <a:effectLst>
            <a:outerShdw blurRad="50800" dist="38100" dir="14700000" algn="t" rotWithShape="0">
              <a:srgbClr val="000000">
                <a:alpha val="60000"/>
              </a:srgbClr>
            </a:outerShdw>
          </a:effectLst>
          <a:scene3d>
            <a:camera prst="orthographicFront" fov="0">
              <a:rot lat="0" lon="0" rev="0"/>
            </a:camera>
            <a:lightRig rig="contrasting" dir="t">
              <a:rot lat="0" lon="0" rev="3600000"/>
            </a:lightRig>
          </a:scene3d>
          <a:sp3d prstMaterial="plastic">
            <a:bevelT w="127000" h="38200" prst="relaxedInset"/>
            <a:contourClr>
              <a:schemeClr val="phClr"/>
            </a:contourClr>
          </a:sp3d>
        </a:effectStyle>
      </a:effectStyleLst>
      <a:bgFillStyleLst>
        <a:solidFill>
          <a:schemeClr val="phClr"/>
        </a:solidFill>
        <a:gradFill rotWithShape="1">
          <a:gsLst>
            <a:gs pos="0">
              <a:schemeClr val="phClr">
                <a:shade val="40000"/>
                <a:satMod val="150000"/>
              </a:schemeClr>
            </a:gs>
            <a:gs pos="30000">
              <a:schemeClr val="phClr">
                <a:shade val="60000"/>
                <a:satMod val="150000"/>
              </a:schemeClr>
            </a:gs>
            <a:gs pos="100000">
              <a:schemeClr val="phClr">
                <a:tint val="83000"/>
                <a:satMod val="200000"/>
              </a:schemeClr>
            </a:gs>
          </a:gsLst>
          <a:lin ang="13000000" scaled="0"/>
        </a:gradFill>
        <a:gradFill rotWithShape="1">
          <a:gsLst>
            <a:gs pos="0">
              <a:schemeClr val="phClr">
                <a:tint val="78000"/>
                <a:satMod val="220000"/>
              </a:schemeClr>
            </a:gs>
            <a:gs pos="100000">
              <a:schemeClr val="phClr">
                <a:shade val="35000"/>
                <a:satMod val="155000"/>
              </a:schemeClr>
            </a:gs>
          </a:gsLst>
          <a:path path="circle">
            <a:fillToRect l="60000" t="50000" r="40000" b="50000"/>
          </a:path>
        </a:gradFill>
      </a:bgFillStyleLst>
    </a:fmtScheme>
  </a:themeElements>
  <a:objectDefaults>
    <a:txDef>
      <a:spPr>
        <a:solidFill>
          <a:schemeClr val="accent2">
            <a:lumMod val="20000"/>
            <a:lumOff val="80000"/>
          </a:schemeClr>
        </a:solidFill>
        <a:ln w="9525" cmpd="sng">
          <a:solidFill>
            <a:schemeClr val="bg1">
              <a:lumMod val="65000"/>
            </a:schemeClr>
          </a:solidFill>
        </a:ln>
      </a:spPr>
      <a:bodyPr vertOverflow="clip" wrap="square" rtlCol="0" anchor="t">
        <a:noAutofit/>
      </a:bodyPr>
      <a:lstStyle>
        <a:defPPr>
          <a:defRPr sz="1100">
            <a:solidFill>
              <a:schemeClr val="tx1"/>
            </a:solidFill>
          </a:defRPr>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0.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drawing" Target="../drawings/drawing8.xml"/></Relationships>
</file>

<file path=xl/worksheets/_rels/sheet11.xml.rels><?xml version="1.0" encoding="UTF-8" standalone="yes"?>
<Relationships xmlns="http://schemas.openxmlformats.org/package/2006/relationships"><Relationship Id="rId8" Type="http://schemas.openxmlformats.org/officeDocument/2006/relationships/comments" Target="../comments7.xml"/><Relationship Id="rId3" Type="http://schemas.openxmlformats.org/officeDocument/2006/relationships/hyperlink" Target="http://deq05/intranet/wr/index.htm" TargetMode="External"/><Relationship Id="rId7" Type="http://schemas.openxmlformats.org/officeDocument/2006/relationships/vmlDrawing" Target="../drawings/vmlDrawing8.vml"/><Relationship Id="rId2" Type="http://schemas.openxmlformats.org/officeDocument/2006/relationships/hyperlink" Target="http://deq05/er/index.htm" TargetMode="External"/><Relationship Id="rId1" Type="http://schemas.openxmlformats.org/officeDocument/2006/relationships/hyperlink" Target="http://deq05/intranet/divisions.htm" TargetMode="External"/><Relationship Id="rId6" Type="http://schemas.openxmlformats.org/officeDocument/2006/relationships/drawing" Target="../drawings/drawing9.xml"/><Relationship Id="rId5" Type="http://schemas.openxmlformats.org/officeDocument/2006/relationships/printerSettings" Target="../printerSettings/printerSettings8.bin"/><Relationship Id="rId4" Type="http://schemas.openxmlformats.org/officeDocument/2006/relationships/hyperlink" Target="http://deq05/nwr/index.htm" TargetMode="External"/></Relationships>
</file>

<file path=xl/worksheets/_rels/sheet12.xml.rels><?xml version="1.0" encoding="UTF-8" standalone="yes"?>
<Relationships xmlns="http://schemas.openxmlformats.org/package/2006/relationships"><Relationship Id="rId3" Type="http://schemas.openxmlformats.org/officeDocument/2006/relationships/hyperlink" Target="http://orpin.oregon.gov/open.dll/welcome" TargetMode="External"/><Relationship Id="rId7" Type="http://schemas.openxmlformats.org/officeDocument/2006/relationships/comments" Target="../comments8.xml"/><Relationship Id="rId2" Type="http://schemas.openxmlformats.org/officeDocument/2006/relationships/hyperlink" Target="http://deq05/intranet/msd/Accounting/MSDAccounting.htm" TargetMode="External"/><Relationship Id="rId1" Type="http://schemas.openxmlformats.org/officeDocument/2006/relationships/hyperlink" Target="http://deq05/intranet/MSD/Budget/MSDBudget.htm" TargetMode="External"/><Relationship Id="rId6" Type="http://schemas.openxmlformats.org/officeDocument/2006/relationships/vmlDrawing" Target="../drawings/vmlDrawing9.vml"/><Relationship Id="rId5" Type="http://schemas.openxmlformats.org/officeDocument/2006/relationships/drawing" Target="../drawings/drawing10.xml"/><Relationship Id="rId4"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8" Type="http://schemas.openxmlformats.org/officeDocument/2006/relationships/comments" Target="../comments9.xml"/><Relationship Id="rId3" Type="http://schemas.openxmlformats.org/officeDocument/2006/relationships/hyperlink" Target="http://deq05/intranet/OD/PA/staff.htm" TargetMode="External"/><Relationship Id="rId7" Type="http://schemas.openxmlformats.org/officeDocument/2006/relationships/vmlDrawing" Target="../drawings/vmlDrawing10.vml"/><Relationship Id="rId2" Type="http://schemas.openxmlformats.org/officeDocument/2006/relationships/hyperlink" Target="http://deq05/intranet/OD/PA/index.htm" TargetMode="External"/><Relationship Id="rId1" Type="http://schemas.openxmlformats.org/officeDocument/2006/relationships/hyperlink" Target="http://deq05/intranet/OD/PA/staff.htm" TargetMode="External"/><Relationship Id="rId6" Type="http://schemas.openxmlformats.org/officeDocument/2006/relationships/drawing" Target="../drawings/drawing11.xml"/><Relationship Id="rId5" Type="http://schemas.openxmlformats.org/officeDocument/2006/relationships/printerSettings" Target="../printerSettings/printerSettings10.bin"/><Relationship Id="rId4" Type="http://schemas.openxmlformats.org/officeDocument/2006/relationships/hyperlink" Target="http://deq05/intranet/communication/webteam/webreps.htm" TargetMode="External"/></Relationships>
</file>

<file path=xl/worksheets/_rels/sheet14.xml.rels><?xml version="1.0" encoding="UTF-8" standalone="yes"?>
<Relationships xmlns="http://schemas.openxmlformats.org/package/2006/relationships"><Relationship Id="rId8" Type="http://schemas.openxmlformats.org/officeDocument/2006/relationships/vmlDrawing" Target="../drawings/vmlDrawing11.vml"/><Relationship Id="rId3" Type="http://schemas.openxmlformats.org/officeDocument/2006/relationships/hyperlink" Target="http://deq05/intranet/msd/HR/h&amp;s/Health&amp;Safety.htm" TargetMode="External"/><Relationship Id="rId7" Type="http://schemas.openxmlformats.org/officeDocument/2006/relationships/drawing" Target="../drawings/drawing12.xml"/><Relationship Id="rId2" Type="http://schemas.openxmlformats.org/officeDocument/2006/relationships/hyperlink" Target="http://deq05/Intranet/working/policyprocedures.htm" TargetMode="External"/><Relationship Id="rId1" Type="http://schemas.openxmlformats.org/officeDocument/2006/relationships/hyperlink" Target="http://deq05/intranet/msd/HR/index.htm" TargetMode="External"/><Relationship Id="rId6" Type="http://schemas.openxmlformats.org/officeDocument/2006/relationships/printerSettings" Target="../printerSettings/printerSettings11.bin"/><Relationship Id="rId5" Type="http://schemas.openxmlformats.org/officeDocument/2006/relationships/hyperlink" Target="http://cms.oregon.gov/DAS/CHRO/Pages/hrmc.aspx" TargetMode="External"/><Relationship Id="rId4" Type="http://schemas.openxmlformats.org/officeDocument/2006/relationships/hyperlink" Target="http://deq05/intranet/MSD/Hr/training/Trainingcenter.htm" TargetMode="External"/><Relationship Id="rId9" Type="http://schemas.openxmlformats.org/officeDocument/2006/relationships/comments" Target="../comments10.xml"/></Relationships>
</file>

<file path=xl/worksheets/_rels/sheet15.xml.rels><?xml version="1.0" encoding="UTF-8" standalone="yes"?>
<Relationships xmlns="http://schemas.openxmlformats.org/package/2006/relationships"><Relationship Id="rId3" Type="http://schemas.openxmlformats.org/officeDocument/2006/relationships/hyperlink" Target="http://deq05/intranet/msd/BSD/bsd.htm" TargetMode="External"/><Relationship Id="rId7" Type="http://schemas.openxmlformats.org/officeDocument/2006/relationships/comments" Target="../comments11.xml"/><Relationship Id="rId2" Type="http://schemas.openxmlformats.org/officeDocument/2006/relationships/hyperlink" Target="http://deq05/intranet/msd/IT/MSDInformationTechnology.htm" TargetMode="External"/><Relationship Id="rId1" Type="http://schemas.openxmlformats.org/officeDocument/2006/relationships/hyperlink" Target="http://deq05/intranet/divisions.htm" TargetMode="External"/><Relationship Id="rId6" Type="http://schemas.openxmlformats.org/officeDocument/2006/relationships/vmlDrawing" Target="../drawings/vmlDrawing12.vml"/><Relationship Id="rId5" Type="http://schemas.openxmlformats.org/officeDocument/2006/relationships/drawing" Target="../drawings/drawing13.xml"/><Relationship Id="rId4"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13.bin"/><Relationship Id="rId1" Type="http://schemas.openxmlformats.org/officeDocument/2006/relationships/hyperlink" Target="http://deq05/intranet/OD/enforcement/Index.htm" TargetMode="External"/><Relationship Id="rId5" Type="http://schemas.openxmlformats.org/officeDocument/2006/relationships/comments" Target="../comments12.xml"/><Relationship Id="rId4" Type="http://schemas.openxmlformats.org/officeDocument/2006/relationships/vmlDrawing" Target="../drawings/vmlDrawing13.vml"/></Relationships>
</file>

<file path=xl/worksheets/_rels/sheet17.xml.rels><?xml version="1.0" encoding="UTF-8" standalone="yes"?>
<Relationships xmlns="http://schemas.openxmlformats.org/package/2006/relationships"><Relationship Id="rId3" Type="http://schemas.openxmlformats.org/officeDocument/2006/relationships/hyperlink" Target="http://deq05/lab/QA/index.asp" TargetMode="External"/><Relationship Id="rId7" Type="http://schemas.openxmlformats.org/officeDocument/2006/relationships/comments" Target="../comments13.xml"/><Relationship Id="rId2" Type="http://schemas.openxmlformats.org/officeDocument/2006/relationships/hyperlink" Target="http://deq05/lab/AQ/Default.htm" TargetMode="External"/><Relationship Id="rId1" Type="http://schemas.openxmlformats.org/officeDocument/2006/relationships/hyperlink" Target="http://deq05/lab/" TargetMode="External"/><Relationship Id="rId6" Type="http://schemas.openxmlformats.org/officeDocument/2006/relationships/vmlDrawing" Target="../drawings/vmlDrawing14.vml"/><Relationship Id="rId5" Type="http://schemas.openxmlformats.org/officeDocument/2006/relationships/drawing" Target="../drawings/drawing15.xml"/><Relationship Id="rId4"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8" Type="http://schemas.openxmlformats.org/officeDocument/2006/relationships/vmlDrawing" Target="../drawings/vmlDrawing15.vml"/><Relationship Id="rId3" Type="http://schemas.openxmlformats.org/officeDocument/2006/relationships/hyperlink" Target="http://www.sitesatlas.com/Flash/USCan/static/ORFC.htm" TargetMode="External"/><Relationship Id="rId7" Type="http://schemas.openxmlformats.org/officeDocument/2006/relationships/drawing" Target="../drawings/drawing16.xml"/><Relationship Id="rId2" Type="http://schemas.openxmlformats.org/officeDocument/2006/relationships/hyperlink" Target="http://www.epa.gov/aboutepa/region10.html" TargetMode="External"/><Relationship Id="rId1" Type="http://schemas.openxmlformats.org/officeDocument/2006/relationships/hyperlink" Target="http://www.lrapa.org/" TargetMode="External"/><Relationship Id="rId6" Type="http://schemas.openxmlformats.org/officeDocument/2006/relationships/printerSettings" Target="../printerSettings/printerSettings15.bin"/><Relationship Id="rId5" Type="http://schemas.openxmlformats.org/officeDocument/2006/relationships/hyperlink" Target="http://www.deq.state.or.us/programs/tribal/index.htm" TargetMode="External"/><Relationship Id="rId4" Type="http://schemas.openxmlformats.org/officeDocument/2006/relationships/hyperlink" Target="http://www.sdao.com/" TargetMode="External"/><Relationship Id="rId9" Type="http://schemas.openxmlformats.org/officeDocument/2006/relationships/comments" Target="../comments14.xml"/></Relationships>
</file>

<file path=xl/worksheets/_rels/sheet19.xml.rels><?xml version="1.0" encoding="UTF-8" standalone="yes"?>
<Relationships xmlns="http://schemas.openxmlformats.org/package/2006/relationships"><Relationship Id="rId3" Type="http://schemas.openxmlformats.org/officeDocument/2006/relationships/drawing" Target="../drawings/drawing17.xml"/><Relationship Id="rId2" Type="http://schemas.openxmlformats.org/officeDocument/2006/relationships/printerSettings" Target="../printerSettings/printerSettings16.bin"/><Relationship Id="rId1" Type="http://schemas.openxmlformats.org/officeDocument/2006/relationships/hyperlink" Target="http://www.deq.state.or.us/committees/advisorycommittees.htm" TargetMode="External"/><Relationship Id="rId5" Type="http://schemas.openxmlformats.org/officeDocument/2006/relationships/comments" Target="../comments15.xml"/><Relationship Id="rId4" Type="http://schemas.openxmlformats.org/officeDocument/2006/relationships/vmlDrawing" Target="../drawings/vmlDrawing16.v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8" Type="http://schemas.openxmlformats.org/officeDocument/2006/relationships/comments" Target="../comments2.xml"/><Relationship Id="rId3" Type="http://schemas.openxmlformats.org/officeDocument/2006/relationships/hyperlink" Target="file:///\\DEQ001\StandardBuild\Configuration\DEQApplications" TargetMode="External"/><Relationship Id="rId7" Type="http://schemas.openxmlformats.org/officeDocument/2006/relationships/vmlDrawing" Target="../drawings/vmlDrawing2.vml"/><Relationship Id="rId2" Type="http://schemas.openxmlformats.org/officeDocument/2006/relationships/hyperlink" Target="mailto:Comment-AaaaAaaa@dep.state.or.us" TargetMode="External"/><Relationship Id="rId1" Type="http://schemas.openxmlformats.org/officeDocument/2006/relationships/hyperlink" Target="file:///\\DEQhq1\..\..\2013%20Plan" TargetMode="External"/><Relationship Id="rId6" Type="http://schemas.openxmlformats.org/officeDocument/2006/relationships/drawing" Target="../drawings/drawing2.xml"/><Relationship Id="rId5" Type="http://schemas.openxmlformats.org/officeDocument/2006/relationships/printerSettings" Target="../printerSettings/printerSettings2.bin"/><Relationship Id="rId4" Type="http://schemas.openxmlformats.org/officeDocument/2006/relationships/hyperlink" Target="mailto:Comment-AaaaAaaa@deq.state.or.us" TargetMode="External"/></Relationships>
</file>

<file path=xl/worksheets/_rels/sheet5.xml.rels><?xml version="1.0" encoding="UTF-8" standalone="yes"?>
<Relationships xmlns="http://schemas.openxmlformats.org/package/2006/relationships"><Relationship Id="rId13" Type="http://schemas.openxmlformats.org/officeDocument/2006/relationships/ctrlProp" Target="../ctrlProps/ctrlProp51.xml"/><Relationship Id="rId18" Type="http://schemas.openxmlformats.org/officeDocument/2006/relationships/ctrlProp" Target="../ctrlProps/ctrlProp56.xml"/><Relationship Id="rId26" Type="http://schemas.openxmlformats.org/officeDocument/2006/relationships/ctrlProp" Target="../ctrlProps/ctrlProp47.xml"/><Relationship Id="rId3" Type="http://schemas.openxmlformats.org/officeDocument/2006/relationships/printerSettings" Target="../printerSettings/printerSettings3.bin"/><Relationship Id="rId21" Type="http://schemas.openxmlformats.org/officeDocument/2006/relationships/ctrlProp" Target="../ctrlProps/ctrlProp59.xml"/><Relationship Id="rId12" Type="http://schemas.openxmlformats.org/officeDocument/2006/relationships/ctrlProp" Target="../ctrlProps/ctrlProp50.xml"/><Relationship Id="rId17" Type="http://schemas.openxmlformats.org/officeDocument/2006/relationships/ctrlProp" Target="../ctrlProps/ctrlProp55.xml"/><Relationship Id="rId25" Type="http://schemas.openxmlformats.org/officeDocument/2006/relationships/ctrlProp" Target="../ctrlProps/ctrlProp43.xml"/><Relationship Id="rId2" Type="http://schemas.openxmlformats.org/officeDocument/2006/relationships/hyperlink" Target="http://deq05/intranet/MSD/HR/ORGcharts/orgchart.pdf" TargetMode="External"/><Relationship Id="rId16" Type="http://schemas.openxmlformats.org/officeDocument/2006/relationships/ctrlProp" Target="../ctrlProps/ctrlProp54.xml"/><Relationship Id="rId20" Type="http://schemas.openxmlformats.org/officeDocument/2006/relationships/ctrlProp" Target="../ctrlProps/ctrlProp58.xml"/><Relationship Id="rId1" Type="http://schemas.openxmlformats.org/officeDocument/2006/relationships/hyperlink" Target="http://www.popstoolkit.com/riskmanagement/module/step4/approaches/individuals/brochures.aspx" TargetMode="External"/><Relationship Id="rId11" Type="http://schemas.openxmlformats.org/officeDocument/2006/relationships/ctrlProp" Target="../ctrlProps/ctrlProp49.xml"/><Relationship Id="rId24" Type="http://schemas.openxmlformats.org/officeDocument/2006/relationships/ctrlProp" Target="../ctrlProps/ctrlProp60.xml"/><Relationship Id="rId5" Type="http://schemas.openxmlformats.org/officeDocument/2006/relationships/vmlDrawing" Target="../drawings/vmlDrawing3.vml"/><Relationship Id="rId23" Type="http://schemas.openxmlformats.org/officeDocument/2006/relationships/ctrlProp" Target="../ctrlProps/ctrlProp44.xml"/><Relationship Id="rId15" Type="http://schemas.openxmlformats.org/officeDocument/2006/relationships/ctrlProp" Target="../ctrlProps/ctrlProp53.xml"/><Relationship Id="rId10" Type="http://schemas.openxmlformats.org/officeDocument/2006/relationships/ctrlProp" Target="../ctrlProps/ctrlProp48.xml"/><Relationship Id="rId19" Type="http://schemas.openxmlformats.org/officeDocument/2006/relationships/ctrlProp" Target="../ctrlProps/ctrlProp57.xml"/><Relationship Id="rId4" Type="http://schemas.openxmlformats.org/officeDocument/2006/relationships/drawing" Target="../drawings/drawing3.xml"/><Relationship Id="rId27" Type="http://schemas.openxmlformats.org/officeDocument/2006/relationships/ctrlProp" Target="../ctrlProps/ctrlProp46.xml"/><Relationship Id="rId22" Type="http://schemas.openxmlformats.org/officeDocument/2006/relationships/ctrlProp" Target="../ctrlProps/ctrlProp45.xml"/><Relationship Id="rId14" Type="http://schemas.openxmlformats.org/officeDocument/2006/relationships/ctrlProp" Target="../ctrlProps/ctrlProp52.xm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deq05/intranet/working/rulemaking/index.htm" TargetMode="External"/><Relationship Id="rId1" Type="http://schemas.openxmlformats.org/officeDocument/2006/relationships/hyperlink" Target="http://www.deq.state.or.us/about/profiles.htm" TargetMode="External"/><Relationship Id="rId6" Type="http://schemas.openxmlformats.org/officeDocument/2006/relationships/comments" Target="../comments3.xml"/><Relationship Id="rId5" Type="http://schemas.openxmlformats.org/officeDocument/2006/relationships/vmlDrawing" Target="../drawings/vmlDrawing4.vml"/><Relationship Id="rId4"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8" Type="http://schemas.openxmlformats.org/officeDocument/2006/relationships/comments" Target="../comments4.xml"/><Relationship Id="rId3" Type="http://schemas.openxmlformats.org/officeDocument/2006/relationships/hyperlink" Target="http://arcweb.sos.state.or.us/pages/rules/resources/coordinators.html" TargetMode="External"/><Relationship Id="rId7" Type="http://schemas.openxmlformats.org/officeDocument/2006/relationships/vmlDrawing" Target="../drawings/vmlDrawing5.vml"/><Relationship Id="rId2" Type="http://schemas.openxmlformats.org/officeDocument/2006/relationships/hyperlink" Target="http://www.doj.state.or.us/about/agoffice.shtml" TargetMode="External"/><Relationship Id="rId1" Type="http://schemas.openxmlformats.org/officeDocument/2006/relationships/hyperlink" Target="http://www.deq.state.or.us/committees/advisorycommittees.htm" TargetMode="External"/><Relationship Id="rId6" Type="http://schemas.openxmlformats.org/officeDocument/2006/relationships/drawing" Target="../drawings/drawing5.xml"/><Relationship Id="rId5" Type="http://schemas.openxmlformats.org/officeDocument/2006/relationships/printerSettings" Target="../printerSettings/printerSettings5.bin"/><Relationship Id="rId4" Type="http://schemas.openxmlformats.org/officeDocument/2006/relationships/hyperlink" Target="http://deq05/intranet/working/rulemaking/index.htm"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http://deq05/intranet/eqc/eqc.htm" TargetMode="External"/><Relationship Id="rId5" Type="http://schemas.openxmlformats.org/officeDocument/2006/relationships/comments" Target="../comments5.xml"/><Relationship Id="rId4" Type="http://schemas.openxmlformats.org/officeDocument/2006/relationships/vmlDrawing" Target="../drawings/vmlDrawing6.vml"/></Relationships>
</file>

<file path=xl/worksheets/_rels/sheet9.xml.rels><?xml version="1.0" encoding="UTF-8" standalone="yes"?>
<Relationships xmlns="http://schemas.openxmlformats.org/package/2006/relationships"><Relationship Id="rId8" Type="http://schemas.openxmlformats.org/officeDocument/2006/relationships/vmlDrawing" Target="../drawings/vmlDrawing7.vml"/><Relationship Id="rId3" Type="http://schemas.openxmlformats.org/officeDocument/2006/relationships/hyperlink" Target="http://deq05/wq/" TargetMode="External"/><Relationship Id="rId7" Type="http://schemas.openxmlformats.org/officeDocument/2006/relationships/drawing" Target="../drawings/drawing7.xml"/><Relationship Id="rId2" Type="http://schemas.openxmlformats.org/officeDocument/2006/relationships/hyperlink" Target="http://deq05/intranet/WMC/index.htm" TargetMode="External"/><Relationship Id="rId1" Type="http://schemas.openxmlformats.org/officeDocument/2006/relationships/hyperlink" Target="http://deq05/intranet/divisions.htm" TargetMode="External"/><Relationship Id="rId6" Type="http://schemas.openxmlformats.org/officeDocument/2006/relationships/printerSettings" Target="../printerSettings/printerSettings7.bin"/><Relationship Id="rId5" Type="http://schemas.openxmlformats.org/officeDocument/2006/relationships/hyperlink" Target="http://deq05/intranet/MSD/ManagementServicesDivision.htm" TargetMode="External"/><Relationship Id="rId4" Type="http://schemas.openxmlformats.org/officeDocument/2006/relationships/hyperlink" Target="http://deq05/aq/" TargetMode="External"/><Relationship Id="rId9" Type="http://schemas.openxmlformats.org/officeDocument/2006/relationships/comments" Target="../comments6.xml"/></Relationships>
</file>

<file path=xl/worksheets/sheet1.xml><?xml version="1.0" encoding="utf-8"?>
<worksheet xmlns="http://schemas.openxmlformats.org/spreadsheetml/2006/main" xmlns:r="http://schemas.openxmlformats.org/officeDocument/2006/relationships">
  <sheetPr codeName="Sheet3"/>
  <dimension ref="A1:F2311"/>
  <sheetViews>
    <sheetView topLeftCell="A11" workbookViewId="0">
      <selection activeCell="A35" sqref="A35"/>
    </sheetView>
  </sheetViews>
  <sheetFormatPr defaultColWidth="9" defaultRowHeight="15.75"/>
  <cols>
    <col min="1" max="1" width="42.125" style="18" customWidth="1"/>
    <col min="2" max="2" width="26.875" style="18" customWidth="1"/>
    <col min="3" max="3" width="25.5" style="5" customWidth="1"/>
    <col min="4" max="4" width="17.25" style="5" customWidth="1"/>
    <col min="5" max="5" width="9.375" style="5" customWidth="1"/>
    <col min="6" max="6" width="15" style="5" bestFit="1" customWidth="1"/>
    <col min="7" max="16384" width="9" style="5"/>
  </cols>
  <sheetData>
    <row r="1" spans="1:6">
      <c r="A1" s="15"/>
      <c r="B1" s="15"/>
      <c r="C1" s="11"/>
      <c r="D1" s="11"/>
      <c r="E1" s="11"/>
    </row>
    <row r="2" spans="1:6">
      <c r="A2" s="15"/>
      <c r="B2" s="15"/>
      <c r="C2" s="11"/>
      <c r="D2" s="11"/>
      <c r="E2" s="11"/>
    </row>
    <row r="3" spans="1:6" ht="22.5">
      <c r="A3" s="17" t="s">
        <v>13</v>
      </c>
      <c r="B3" s="15"/>
      <c r="C3" s="11"/>
      <c r="D3" s="11"/>
      <c r="E3" s="11"/>
    </row>
    <row r="4" spans="1:6">
      <c r="A4" s="16" t="s">
        <v>73</v>
      </c>
      <c r="B4" s="14" t="s">
        <v>26</v>
      </c>
      <c r="C4" s="11" t="s">
        <v>0</v>
      </c>
      <c r="D4" s="11"/>
      <c r="E4" s="11"/>
    </row>
    <row r="5" spans="1:6">
      <c r="A5" s="21" t="s">
        <v>2</v>
      </c>
      <c r="B5" s="22">
        <v>0</v>
      </c>
      <c r="C5" s="11"/>
      <c r="D5" s="11"/>
      <c r="E5" s="11"/>
    </row>
    <row r="6" spans="1:6">
      <c r="A6" s="21" t="s">
        <v>21</v>
      </c>
      <c r="B6" s="22">
        <v>2</v>
      </c>
      <c r="C6" s="11"/>
      <c r="D6" s="11"/>
      <c r="E6" s="11"/>
    </row>
    <row r="7" spans="1:6">
      <c r="A7" s="21" t="s">
        <v>22</v>
      </c>
      <c r="B7" s="22">
        <v>4</v>
      </c>
      <c r="C7" s="11"/>
      <c r="D7" s="11"/>
      <c r="E7" s="11"/>
    </row>
    <row r="8" spans="1:6">
      <c r="A8" s="21" t="s">
        <v>23</v>
      </c>
      <c r="B8" s="22">
        <v>6</v>
      </c>
      <c r="C8" s="11"/>
      <c r="D8" s="11"/>
      <c r="E8" s="11"/>
    </row>
    <row r="9" spans="1:6">
      <c r="A9" s="21" t="s">
        <v>24</v>
      </c>
      <c r="B9" s="22">
        <v>8</v>
      </c>
      <c r="C9" s="11"/>
      <c r="D9" s="11"/>
      <c r="E9" s="11"/>
    </row>
    <row r="10" spans="1:6">
      <c r="A10" s="21" t="s">
        <v>25</v>
      </c>
      <c r="B10" s="22">
        <v>10</v>
      </c>
      <c r="C10" s="11"/>
      <c r="D10" s="11"/>
      <c r="E10" s="11"/>
    </row>
    <row r="11" spans="1:6">
      <c r="A11" s="19" t="s">
        <v>14</v>
      </c>
      <c r="B11" s="20"/>
      <c r="C11" s="11"/>
      <c r="D11" s="11"/>
      <c r="E11" s="11"/>
    </row>
    <row r="12" spans="1:6">
      <c r="A12" s="15"/>
      <c r="B12" s="15"/>
      <c r="C12" s="11"/>
      <c r="D12" s="11"/>
      <c r="E12" s="11"/>
    </row>
    <row r="13" spans="1:6">
      <c r="A13" s="15"/>
      <c r="B13" s="15" t="s">
        <v>323</v>
      </c>
      <c r="C13" s="11"/>
      <c r="D13" s="11"/>
      <c r="E13" s="11"/>
      <c r="F13" s="527"/>
    </row>
    <row r="14" spans="1:6">
      <c r="A14" s="16" t="s">
        <v>74</v>
      </c>
      <c r="B14" s="165" t="s">
        <v>75</v>
      </c>
      <c r="C14" s="165" t="s">
        <v>27</v>
      </c>
      <c r="D14" s="165" t="s">
        <v>28</v>
      </c>
      <c r="E14" s="11"/>
      <c r="F14" s="527"/>
    </row>
    <row r="15" spans="1:6">
      <c r="A15" s="21" t="s">
        <v>229</v>
      </c>
      <c r="B15" s="22">
        <v>0</v>
      </c>
      <c r="C15" s="22">
        <v>0</v>
      </c>
      <c r="D15" s="22">
        <v>0</v>
      </c>
      <c r="E15" s="11"/>
      <c r="F15" s="527"/>
    </row>
    <row r="16" spans="1:6">
      <c r="A16" s="21" t="s">
        <v>231</v>
      </c>
      <c r="B16" s="22">
        <v>1</v>
      </c>
      <c r="C16" s="22">
        <v>1</v>
      </c>
      <c r="D16" s="22">
        <v>8</v>
      </c>
      <c r="E16" s="11"/>
      <c r="F16" s="527"/>
    </row>
    <row r="17" spans="1:6">
      <c r="A17" s="21" t="s">
        <v>232</v>
      </c>
      <c r="B17" s="22">
        <v>2</v>
      </c>
      <c r="C17" s="22">
        <v>8</v>
      </c>
      <c r="D17" s="22">
        <v>40</v>
      </c>
      <c r="E17" s="11"/>
      <c r="F17" s="527"/>
    </row>
    <row r="18" spans="1:6">
      <c r="A18" s="21" t="s">
        <v>233</v>
      </c>
      <c r="B18" s="22">
        <v>3</v>
      </c>
      <c r="C18" s="22">
        <v>40</v>
      </c>
      <c r="D18" s="22">
        <v>80</v>
      </c>
      <c r="E18" s="11"/>
      <c r="F18" s="527"/>
    </row>
    <row r="19" spans="1:6">
      <c r="A19" s="21" t="s">
        <v>234</v>
      </c>
      <c r="B19" s="22">
        <v>4</v>
      </c>
      <c r="C19" s="22">
        <v>80</v>
      </c>
      <c r="D19" s="22">
        <v>170</v>
      </c>
      <c r="E19" s="11"/>
      <c r="F19" s="527"/>
    </row>
    <row r="20" spans="1:6">
      <c r="A20" s="21" t="s">
        <v>235</v>
      </c>
      <c r="B20" s="22">
        <v>5</v>
      </c>
      <c r="C20" s="22">
        <v>170</v>
      </c>
      <c r="D20" s="22">
        <v>340</v>
      </c>
      <c r="E20" s="11"/>
      <c r="F20" s="527"/>
    </row>
    <row r="21" spans="1:6">
      <c r="A21" s="21" t="s">
        <v>236</v>
      </c>
      <c r="B21" s="22">
        <v>6</v>
      </c>
      <c r="C21" s="22">
        <v>340</v>
      </c>
      <c r="D21" s="22">
        <v>680</v>
      </c>
      <c r="E21" s="11"/>
      <c r="F21" s="527">
        <v>25</v>
      </c>
    </row>
    <row r="22" spans="1:6">
      <c r="A22" s="21" t="s">
        <v>237</v>
      </c>
      <c r="B22" s="22">
        <v>7</v>
      </c>
      <c r="C22" s="22">
        <v>680</v>
      </c>
      <c r="D22" s="22">
        <v>1020</v>
      </c>
      <c r="E22" s="11"/>
      <c r="F22" s="528">
        <v>0.5</v>
      </c>
    </row>
    <row r="23" spans="1:6">
      <c r="A23" s="21" t="s">
        <v>238</v>
      </c>
      <c r="B23" s="22">
        <v>8</v>
      </c>
      <c r="C23" s="22">
        <v>1020</v>
      </c>
      <c r="D23" s="22">
        <v>1360</v>
      </c>
      <c r="E23" s="11"/>
      <c r="F23" s="527"/>
    </row>
    <row r="24" spans="1:6">
      <c r="A24" s="21" t="s">
        <v>230</v>
      </c>
      <c r="B24" s="22">
        <v>9</v>
      </c>
      <c r="C24" s="22">
        <v>1360</v>
      </c>
      <c r="D24" s="22">
        <v>2080</v>
      </c>
      <c r="E24" s="11"/>
      <c r="F24" s="527"/>
    </row>
    <row r="25" spans="1:6">
      <c r="A25" s="21" t="s">
        <v>239</v>
      </c>
      <c r="B25" s="22">
        <v>10</v>
      </c>
      <c r="C25" s="22">
        <v>2080</v>
      </c>
      <c r="D25" s="214" t="s">
        <v>90</v>
      </c>
      <c r="E25" s="11"/>
      <c r="F25" s="527"/>
    </row>
    <row r="26" spans="1:6">
      <c r="A26" s="19" t="s">
        <v>14</v>
      </c>
      <c r="B26" s="20"/>
      <c r="C26" s="11"/>
      <c r="D26" s="11"/>
      <c r="E26" s="11"/>
      <c r="F26" s="527"/>
    </row>
    <row r="27" spans="1:6">
      <c r="A27" s="15"/>
      <c r="B27" s="15"/>
      <c r="C27" s="11"/>
      <c r="D27" s="11"/>
      <c r="E27" s="11"/>
    </row>
    <row r="28" spans="1:6">
      <c r="A28" s="15"/>
      <c r="B28" s="15"/>
      <c r="C28" s="11"/>
      <c r="D28" s="11"/>
      <c r="E28" s="11"/>
    </row>
    <row r="29" spans="1:6">
      <c r="A29" s="16" t="s">
        <v>76</v>
      </c>
      <c r="B29" s="52"/>
      <c r="C29" s="11" t="s">
        <v>0</v>
      </c>
      <c r="D29" s="11"/>
      <c r="E29" s="11"/>
    </row>
    <row r="30" spans="1:6">
      <c r="A30" s="21" t="s">
        <v>0</v>
      </c>
      <c r="B30" s="52"/>
      <c r="C30" s="11"/>
      <c r="D30" s="11"/>
      <c r="E30" s="11"/>
    </row>
    <row r="31" spans="1:6">
      <c r="A31" s="21" t="s">
        <v>15</v>
      </c>
      <c r="B31" s="52"/>
      <c r="C31" s="11"/>
      <c r="D31" s="11"/>
      <c r="E31" s="11"/>
    </row>
    <row r="32" spans="1:6">
      <c r="A32" s="21" t="s">
        <v>16</v>
      </c>
      <c r="B32" s="52"/>
      <c r="C32" s="11"/>
      <c r="D32" s="11"/>
      <c r="E32" s="11"/>
    </row>
    <row r="33" spans="1:5">
      <c r="A33" s="21" t="s">
        <v>552</v>
      </c>
      <c r="B33" s="52"/>
      <c r="C33" s="52"/>
      <c r="D33" s="52"/>
      <c r="E33" s="52"/>
    </row>
    <row r="34" spans="1:5">
      <c r="A34" s="21" t="s">
        <v>553</v>
      </c>
      <c r="B34" s="52"/>
      <c r="C34" s="52"/>
      <c r="D34" s="52"/>
      <c r="E34" s="52"/>
    </row>
    <row r="35" spans="1:5">
      <c r="A35" s="21" t="s">
        <v>17</v>
      </c>
      <c r="B35" s="52"/>
      <c r="C35" s="11"/>
      <c r="D35" s="11"/>
      <c r="E35" s="11"/>
    </row>
    <row r="36" spans="1:5">
      <c r="A36" s="19" t="s">
        <v>14</v>
      </c>
      <c r="B36" s="20"/>
      <c r="C36" s="11"/>
      <c r="D36" s="11"/>
      <c r="E36" s="11"/>
    </row>
    <row r="37" spans="1:5">
      <c r="A37" s="15"/>
      <c r="B37" s="15"/>
      <c r="C37" s="11"/>
      <c r="D37" s="11"/>
      <c r="E37" s="11"/>
    </row>
    <row r="38" spans="1:5">
      <c r="A38" s="15"/>
      <c r="B38" s="15"/>
      <c r="C38" s="52"/>
      <c r="D38" s="52"/>
      <c r="E38" s="52"/>
    </row>
    <row r="39" spans="1:5">
      <c r="A39" s="16" t="s">
        <v>202</v>
      </c>
      <c r="B39" s="52"/>
      <c r="C39" s="52" t="s">
        <v>0</v>
      </c>
      <c r="D39" s="52"/>
      <c r="E39" s="52"/>
    </row>
    <row r="40" spans="1:5">
      <c r="A40" s="21" t="s">
        <v>53</v>
      </c>
      <c r="B40" s="52"/>
      <c r="C40" s="52"/>
      <c r="D40" s="52"/>
      <c r="E40" s="52"/>
    </row>
    <row r="41" spans="1:5">
      <c r="A41" s="21" t="s">
        <v>52</v>
      </c>
      <c r="B41" s="52"/>
      <c r="C41" s="52"/>
      <c r="D41" s="52"/>
      <c r="E41" s="52"/>
    </row>
    <row r="42" spans="1:5">
      <c r="A42" s="19" t="s">
        <v>14</v>
      </c>
      <c r="B42" s="20"/>
      <c r="C42" s="52"/>
      <c r="D42" s="52"/>
      <c r="E42" s="52"/>
    </row>
    <row r="43" spans="1:5">
      <c r="A43" s="15"/>
      <c r="B43" s="15"/>
      <c r="C43" s="52"/>
      <c r="D43" s="52"/>
      <c r="E43" s="52"/>
    </row>
    <row r="44" spans="1:5">
      <c r="A44" s="15"/>
      <c r="B44" s="15"/>
      <c r="C44" s="52"/>
      <c r="D44" s="52"/>
      <c r="E44" s="52"/>
    </row>
    <row r="45" spans="1:5">
      <c r="A45" s="16" t="s">
        <v>203</v>
      </c>
      <c r="B45" s="51"/>
      <c r="C45" s="51"/>
      <c r="D45" s="51"/>
      <c r="E45" s="51"/>
    </row>
    <row r="46" spans="1:5">
      <c r="A46" s="523" t="s">
        <v>256</v>
      </c>
      <c r="B46" s="51"/>
      <c r="C46" s="51"/>
      <c r="D46" s="51"/>
      <c r="E46" s="51"/>
    </row>
    <row r="47" spans="1:5">
      <c r="A47" s="523" t="s">
        <v>205</v>
      </c>
      <c r="B47" s="51"/>
      <c r="C47" s="51"/>
      <c r="D47" s="51"/>
      <c r="E47" s="51"/>
    </row>
    <row r="48" spans="1:5">
      <c r="A48" s="523" t="s">
        <v>257</v>
      </c>
      <c r="B48" s="51"/>
      <c r="C48" s="51"/>
      <c r="D48" s="51"/>
      <c r="E48" s="51"/>
    </row>
    <row r="49" spans="1:5">
      <c r="A49" s="523" t="s">
        <v>258</v>
      </c>
      <c r="B49" s="51"/>
      <c r="C49" s="51"/>
      <c r="D49" s="51"/>
      <c r="E49" s="51"/>
    </row>
    <row r="50" spans="1:5">
      <c r="A50" s="523" t="s">
        <v>259</v>
      </c>
      <c r="B50" s="51"/>
      <c r="C50" s="51"/>
      <c r="D50" s="51"/>
      <c r="E50" s="51"/>
    </row>
    <row r="51" spans="1:5">
      <c r="A51" s="523" t="s">
        <v>260</v>
      </c>
      <c r="B51" s="51"/>
      <c r="C51" s="51"/>
      <c r="D51" s="51"/>
      <c r="E51" s="51"/>
    </row>
    <row r="52" spans="1:5">
      <c r="A52" s="523" t="s">
        <v>261</v>
      </c>
      <c r="B52" s="51"/>
      <c r="C52" s="51"/>
      <c r="D52" s="51"/>
      <c r="E52" s="51"/>
    </row>
    <row r="53" spans="1:5">
      <c r="A53" s="523" t="s">
        <v>262</v>
      </c>
      <c r="B53" s="51"/>
      <c r="C53" s="51"/>
      <c r="D53" s="51"/>
      <c r="E53" s="51"/>
    </row>
    <row r="54" spans="1:5">
      <c r="A54" s="523" t="s">
        <v>263</v>
      </c>
      <c r="B54" s="51"/>
      <c r="C54" s="51"/>
      <c r="D54" s="51"/>
      <c r="E54" s="51"/>
    </row>
    <row r="55" spans="1:5">
      <c r="A55" s="523" t="s">
        <v>264</v>
      </c>
      <c r="B55" s="51"/>
      <c r="C55" s="51"/>
      <c r="D55" s="51"/>
      <c r="E55" s="51"/>
    </row>
    <row r="56" spans="1:5">
      <c r="A56" s="523" t="s">
        <v>265</v>
      </c>
      <c r="B56" s="51"/>
      <c r="C56" s="51"/>
      <c r="D56" s="51"/>
      <c r="E56" s="51"/>
    </row>
    <row r="57" spans="1:5">
      <c r="A57" s="523" t="s">
        <v>266</v>
      </c>
      <c r="B57" s="51"/>
      <c r="C57" s="51"/>
      <c r="D57" s="51"/>
      <c r="E57" s="51"/>
    </row>
    <row r="58" spans="1:5">
      <c r="A58" s="523" t="s">
        <v>267</v>
      </c>
      <c r="B58" s="51"/>
      <c r="C58" s="51"/>
      <c r="D58" s="51"/>
      <c r="E58" s="51"/>
    </row>
    <row r="59" spans="1:5" customFormat="1">
      <c r="A59" s="523" t="s">
        <v>187</v>
      </c>
      <c r="B59" s="51"/>
      <c r="C59" s="51"/>
      <c r="D59" s="51"/>
      <c r="E59" s="51"/>
    </row>
    <row r="60" spans="1:5">
      <c r="A60" s="19" t="s">
        <v>14</v>
      </c>
      <c r="B60" s="20"/>
      <c r="C60" s="52"/>
      <c r="D60" s="52"/>
      <c r="E60" s="52"/>
    </row>
    <row r="61" spans="1:5">
      <c r="A61" s="15"/>
      <c r="B61" s="15"/>
      <c r="C61" s="52"/>
      <c r="D61" s="52"/>
      <c r="E61" s="52"/>
    </row>
    <row r="62" spans="1:5">
      <c r="A62" s="16" t="s">
        <v>226</v>
      </c>
      <c r="B62" s="52"/>
      <c r="C62" s="52" t="s">
        <v>0</v>
      </c>
      <c r="D62" s="52"/>
      <c r="E62" s="52"/>
    </row>
    <row r="63" spans="1:5">
      <c r="A63" s="21" t="s">
        <v>169</v>
      </c>
      <c r="B63" s="52"/>
      <c r="C63" s="52"/>
      <c r="D63" s="52"/>
      <c r="E63" s="52"/>
    </row>
    <row r="64" spans="1:5">
      <c r="A64" s="21" t="s">
        <v>170</v>
      </c>
      <c r="B64" s="52"/>
      <c r="C64" s="52"/>
      <c r="D64" s="52"/>
      <c r="E64" s="52"/>
    </row>
    <row r="65" spans="1:5">
      <c r="A65" s="21" t="s">
        <v>227</v>
      </c>
      <c r="B65" s="52"/>
      <c r="C65" s="52"/>
      <c r="D65" s="52"/>
      <c r="E65" s="52"/>
    </row>
    <row r="66" spans="1:5">
      <c r="A66" s="21" t="s">
        <v>228</v>
      </c>
      <c r="B66" s="52"/>
      <c r="C66" s="52"/>
      <c r="D66" s="52"/>
      <c r="E66" s="52"/>
    </row>
    <row r="67" spans="1:5">
      <c r="A67" s="19" t="s">
        <v>14</v>
      </c>
      <c r="B67" s="20"/>
      <c r="C67" s="52"/>
      <c r="D67" s="52"/>
      <c r="E67" s="52"/>
    </row>
    <row r="68" spans="1:5">
      <c r="A68" s="15"/>
      <c r="B68" s="15"/>
      <c r="C68" s="52"/>
      <c r="D68" s="52"/>
      <c r="E68" s="52"/>
    </row>
    <row r="69" spans="1:5" customFormat="1" ht="14.25"/>
    <row r="70" spans="1:5" customFormat="1" ht="14.25"/>
    <row r="71" spans="1:5" customFormat="1" ht="14.25"/>
    <row r="72" spans="1:5" customFormat="1" ht="14.25"/>
    <row r="73" spans="1:5" customFormat="1" ht="14.25"/>
    <row r="74" spans="1:5" customFormat="1" ht="14.25"/>
    <row r="75" spans="1:5" customFormat="1" ht="14.25"/>
    <row r="76" spans="1:5" customFormat="1" ht="14.25"/>
    <row r="77" spans="1:5" customFormat="1" ht="14.25"/>
    <row r="78" spans="1:5" customFormat="1" ht="14.25"/>
    <row r="79" spans="1:5" customFormat="1" ht="14.25"/>
    <row r="80" spans="1:5" customFormat="1" ht="14.25"/>
    <row r="81" customFormat="1" ht="14.25"/>
    <row r="82" customFormat="1" ht="14.25"/>
    <row r="83" customFormat="1" ht="14.25"/>
    <row r="84" customFormat="1" ht="14.25"/>
    <row r="85" customFormat="1" ht="14.25"/>
    <row r="86" customFormat="1" ht="14.25"/>
    <row r="87" customFormat="1" ht="14.25"/>
    <row r="88" customFormat="1" ht="14.25"/>
    <row r="89" customFormat="1" ht="14.25"/>
    <row r="90" customFormat="1" ht="14.25"/>
    <row r="91" customFormat="1" ht="14.25"/>
    <row r="92" customFormat="1" ht="14.25"/>
    <row r="93" customFormat="1" ht="14.25"/>
    <row r="94" customFormat="1" ht="14.25"/>
    <row r="95" customFormat="1" ht="14.25"/>
    <row r="96" customFormat="1" ht="14.25"/>
    <row r="97" customFormat="1" ht="14.25"/>
    <row r="98" customFormat="1" ht="14.25"/>
    <row r="99" customFormat="1" ht="14.25"/>
    <row r="100" customFormat="1" ht="14.25"/>
    <row r="101" customFormat="1" ht="14.25"/>
    <row r="102" customFormat="1" ht="14.25"/>
    <row r="103" customFormat="1" ht="14.25"/>
    <row r="104" customFormat="1" ht="14.25"/>
    <row r="105" customFormat="1" ht="14.25"/>
    <row r="106" customFormat="1" ht="14.25"/>
    <row r="107" customFormat="1" ht="14.25"/>
    <row r="108" customFormat="1" ht="14.25"/>
    <row r="109" customFormat="1" ht="14.25"/>
    <row r="110" customFormat="1" ht="14.25"/>
    <row r="111" customFormat="1" ht="14.25"/>
    <row r="112" customFormat="1" ht="14.25"/>
    <row r="113" customFormat="1" ht="14.25"/>
    <row r="114" customFormat="1" ht="14.25"/>
    <row r="115" customFormat="1" ht="14.25"/>
    <row r="116" customFormat="1" ht="14.25"/>
    <row r="117" customFormat="1" ht="14.25"/>
    <row r="118" customFormat="1" ht="14.25"/>
    <row r="119" customFormat="1" ht="14.25"/>
    <row r="120" customFormat="1" ht="14.25"/>
    <row r="121" customFormat="1" ht="14.25"/>
    <row r="122" customFormat="1" ht="14.25"/>
    <row r="123" customFormat="1" ht="14.25"/>
    <row r="124" customFormat="1" ht="14.25"/>
    <row r="125" customFormat="1" ht="14.25"/>
    <row r="126" customFormat="1" ht="14.25"/>
    <row r="127" customFormat="1" ht="14.25"/>
    <row r="128" customFormat="1" ht="14.25"/>
    <row r="129" customFormat="1" ht="14.25"/>
    <row r="130" customFormat="1" ht="14.25"/>
    <row r="131" customFormat="1" ht="14.25"/>
    <row r="132" customFormat="1" ht="14.25"/>
    <row r="133" customFormat="1" ht="14.25"/>
    <row r="134" customFormat="1" ht="14.25"/>
    <row r="135" customFormat="1" ht="14.25"/>
    <row r="136" customFormat="1" ht="14.25"/>
    <row r="137" customFormat="1" ht="14.25"/>
    <row r="138" customFormat="1" ht="14.25"/>
    <row r="139" customFormat="1" ht="14.25"/>
    <row r="140" customFormat="1" ht="14.25"/>
    <row r="141" customFormat="1" ht="14.25"/>
    <row r="142" customFormat="1" ht="14.25"/>
    <row r="143" customFormat="1" ht="14.25"/>
    <row r="144" customFormat="1" ht="14.25"/>
    <row r="145" customFormat="1" ht="14.25"/>
    <row r="146" customFormat="1" ht="14.25"/>
    <row r="147" customFormat="1" ht="14.25"/>
    <row r="148" customFormat="1" ht="14.25"/>
    <row r="149" customFormat="1" ht="14.25"/>
    <row r="150" customFormat="1" ht="14.25"/>
    <row r="151" customFormat="1" ht="14.25"/>
    <row r="152" customFormat="1" ht="14.25"/>
    <row r="153" customFormat="1" ht="14.25"/>
    <row r="154" customFormat="1" ht="14.25"/>
    <row r="155" customFormat="1" ht="14.25"/>
    <row r="156" customFormat="1" ht="14.25"/>
    <row r="157" customFormat="1" ht="14.25"/>
    <row r="158" customFormat="1" ht="14.25"/>
    <row r="159" customFormat="1" ht="14.25"/>
    <row r="160" customFormat="1" ht="14.25"/>
    <row r="161" customFormat="1" ht="14.25"/>
    <row r="162" customFormat="1" ht="14.25"/>
    <row r="163" customFormat="1" ht="14.25"/>
    <row r="164" customFormat="1" ht="14.25"/>
    <row r="165" customFormat="1" ht="14.25"/>
    <row r="166" customFormat="1" ht="14.25"/>
    <row r="167" customFormat="1" ht="14.25"/>
    <row r="168" customFormat="1" ht="14.25"/>
    <row r="169" customFormat="1" ht="14.25"/>
    <row r="170" customFormat="1" ht="14.25"/>
    <row r="171" customFormat="1" ht="14.25"/>
    <row r="172" customFormat="1" ht="14.25"/>
    <row r="173" customFormat="1" ht="14.25"/>
    <row r="174" customFormat="1" ht="14.25"/>
    <row r="175" customFormat="1" ht="14.25"/>
    <row r="176" customFormat="1" ht="14.25"/>
    <row r="177" customFormat="1" ht="14.25"/>
    <row r="178" customFormat="1" ht="14.25"/>
    <row r="179" customFormat="1" ht="14.25"/>
    <row r="180" customFormat="1" ht="14.25"/>
    <row r="181" customFormat="1" ht="14.25"/>
    <row r="182" customFormat="1" ht="14.25"/>
    <row r="183" customFormat="1" ht="14.25"/>
    <row r="184" customFormat="1" ht="14.25"/>
    <row r="185" customFormat="1" ht="14.25"/>
    <row r="186" customFormat="1" ht="14.25"/>
    <row r="187" customFormat="1" ht="14.25"/>
    <row r="188" customFormat="1" ht="14.25"/>
    <row r="189" customFormat="1" ht="14.25"/>
    <row r="190" customFormat="1" ht="14.25"/>
    <row r="191" customFormat="1" ht="14.25"/>
    <row r="192" customFormat="1" ht="14.25"/>
    <row r="193" customFormat="1" ht="14.25"/>
    <row r="194" customFormat="1" ht="14.25"/>
    <row r="195" customFormat="1" ht="14.25"/>
    <row r="196" customFormat="1" ht="14.25"/>
    <row r="197" customFormat="1" ht="14.25"/>
    <row r="198" customFormat="1" ht="14.25"/>
    <row r="199" customFormat="1" ht="14.25"/>
    <row r="200" customFormat="1" ht="14.25"/>
    <row r="201" customFormat="1" ht="14.25"/>
    <row r="202" customFormat="1" ht="14.25"/>
    <row r="203" customFormat="1" ht="14.25"/>
    <row r="204" customFormat="1" ht="14.25"/>
    <row r="205" customFormat="1" ht="14.25"/>
    <row r="206" customFormat="1" ht="14.25"/>
    <row r="207" customFormat="1" ht="14.25"/>
    <row r="208" customFormat="1" ht="14.25"/>
    <row r="209" customFormat="1" ht="14.25"/>
    <row r="210" customFormat="1" ht="14.25"/>
    <row r="211" customFormat="1" ht="14.25"/>
    <row r="212" customFormat="1" ht="14.25"/>
    <row r="213" customFormat="1" ht="14.25"/>
    <row r="214" customFormat="1" ht="14.25"/>
    <row r="215" customFormat="1" ht="14.25"/>
    <row r="216" customFormat="1" ht="14.25"/>
    <row r="217" customFormat="1" ht="14.25"/>
    <row r="218" customFormat="1" ht="14.25"/>
    <row r="219" customFormat="1" ht="14.25"/>
    <row r="220" customFormat="1" ht="14.25"/>
    <row r="221" customFormat="1" ht="14.25"/>
    <row r="222" customFormat="1" ht="14.25"/>
    <row r="223" customFormat="1" ht="14.25"/>
    <row r="224" customFormat="1" ht="14.25"/>
    <row r="225" customFormat="1" ht="14.25"/>
    <row r="226" customFormat="1" ht="14.25"/>
    <row r="227" customFormat="1" ht="14.25"/>
    <row r="228" customFormat="1" ht="14.25"/>
    <row r="229" customFormat="1" ht="14.25"/>
    <row r="230" customFormat="1" ht="14.25"/>
    <row r="231" customFormat="1" ht="14.25"/>
    <row r="232" customFormat="1" ht="14.25"/>
    <row r="233" customFormat="1" ht="14.25"/>
    <row r="234" customFormat="1" ht="14.25"/>
    <row r="235" customFormat="1" ht="14.25"/>
    <row r="236" customFormat="1" ht="14.25"/>
    <row r="237" customFormat="1" ht="14.25"/>
    <row r="238" customFormat="1" ht="14.25"/>
    <row r="239" customFormat="1" ht="14.25"/>
    <row r="240" customFormat="1" ht="14.25"/>
    <row r="241" customFormat="1" ht="14.25"/>
    <row r="242" customFormat="1" ht="14.25"/>
    <row r="243" customFormat="1" ht="14.25"/>
    <row r="244" customFormat="1" ht="14.25"/>
    <row r="245" customFormat="1" ht="14.25"/>
    <row r="246" customFormat="1" ht="14.25"/>
    <row r="247" customFormat="1" ht="14.25"/>
    <row r="248" customFormat="1" ht="14.25"/>
    <row r="249" customFormat="1" ht="14.25"/>
    <row r="250" customFormat="1" ht="14.25"/>
    <row r="251" customFormat="1" ht="14.25"/>
    <row r="252" customFormat="1" ht="14.25"/>
    <row r="253" customFormat="1" ht="14.25"/>
    <row r="254" customFormat="1" ht="14.25"/>
    <row r="255" customFormat="1" ht="14.25"/>
    <row r="256" customFormat="1" ht="14.25"/>
    <row r="257" customFormat="1" ht="14.25"/>
    <row r="258" customFormat="1" ht="14.25"/>
    <row r="259" customFormat="1" ht="14.25"/>
    <row r="260" customFormat="1" ht="14.25"/>
    <row r="261" customFormat="1" ht="14.25"/>
    <row r="262" customFormat="1" ht="14.25"/>
    <row r="263" customFormat="1" ht="14.25"/>
    <row r="264" customFormat="1" ht="14.25"/>
    <row r="265" customFormat="1" ht="14.25"/>
    <row r="266" customFormat="1" ht="14.25"/>
    <row r="267" customFormat="1" ht="14.25"/>
    <row r="268" customFormat="1" ht="14.25"/>
    <row r="269" customFormat="1" ht="14.25"/>
    <row r="270" customFormat="1" ht="14.25"/>
    <row r="271" customFormat="1" ht="14.25"/>
    <row r="272" customFormat="1" ht="14.25"/>
    <row r="273" customFormat="1" ht="14.25"/>
    <row r="274" customFormat="1" ht="14.25"/>
    <row r="275" customFormat="1" ht="14.25"/>
    <row r="276" customFormat="1" ht="14.25"/>
    <row r="277" customFormat="1" ht="14.25"/>
    <row r="278" customFormat="1" ht="14.25"/>
    <row r="279" customFormat="1" ht="14.25"/>
    <row r="280" customFormat="1" ht="14.25"/>
    <row r="281" customFormat="1" ht="14.25"/>
    <row r="282" customFormat="1" ht="14.25"/>
    <row r="283" customFormat="1" ht="14.25"/>
    <row r="284" customFormat="1" ht="14.25"/>
    <row r="285" customFormat="1" ht="14.25"/>
    <row r="286" customFormat="1" ht="14.25"/>
    <row r="287" customFormat="1" ht="14.25"/>
    <row r="288" customFormat="1" ht="14.25"/>
    <row r="289" customFormat="1" ht="14.25"/>
    <row r="290" customFormat="1" ht="14.25"/>
    <row r="291" customFormat="1" ht="14.25"/>
    <row r="292" customFormat="1" ht="14.25"/>
    <row r="293" customFormat="1" ht="14.25"/>
    <row r="294" customFormat="1" ht="14.25"/>
    <row r="295" customFormat="1" ht="14.25"/>
    <row r="296" customFormat="1" ht="14.25"/>
    <row r="297" customFormat="1" ht="14.25"/>
    <row r="298" customFormat="1" ht="14.25"/>
    <row r="299" customFormat="1" ht="14.25"/>
    <row r="300" customFormat="1" ht="14.25"/>
    <row r="301" customFormat="1" ht="14.25"/>
    <row r="302" customFormat="1" ht="14.25"/>
    <row r="303" customFormat="1" ht="14.25"/>
    <row r="304" customFormat="1" ht="14.25"/>
    <row r="305" customFormat="1" ht="14.25"/>
    <row r="306" customFormat="1" ht="14.25"/>
    <row r="307" customFormat="1" ht="14.25"/>
    <row r="308" customFormat="1" ht="14.25"/>
    <row r="309" customFormat="1" ht="14.25"/>
    <row r="310" customFormat="1" ht="14.25"/>
    <row r="311" customFormat="1" ht="14.25"/>
    <row r="312" customFormat="1" ht="14.25"/>
    <row r="313" customFormat="1" ht="14.25"/>
    <row r="314" customFormat="1" ht="14.25"/>
    <row r="315" customFormat="1" ht="14.25"/>
    <row r="316" customFormat="1" ht="14.25"/>
    <row r="317" customFormat="1" ht="14.25"/>
    <row r="318" customFormat="1" ht="14.25"/>
    <row r="319" customFormat="1" ht="14.25"/>
    <row r="320" customFormat="1" ht="14.25"/>
    <row r="321" customFormat="1" ht="14.25"/>
    <row r="322" customFormat="1" ht="14.25"/>
    <row r="323" customFormat="1" ht="14.25"/>
    <row r="324" customFormat="1" ht="14.25"/>
    <row r="325" customFormat="1" ht="14.25"/>
    <row r="326" customFormat="1" ht="14.25"/>
    <row r="327" customFormat="1" ht="14.25"/>
    <row r="328" customFormat="1" ht="14.25"/>
    <row r="329" customFormat="1" ht="14.25"/>
    <row r="330" customFormat="1" ht="14.25"/>
    <row r="331" customFormat="1" ht="14.25"/>
    <row r="332" customFormat="1" ht="14.25"/>
    <row r="333" customFormat="1" ht="14.25"/>
    <row r="334" customFormat="1" ht="14.25"/>
    <row r="335" customFormat="1" ht="14.25"/>
    <row r="336" customFormat="1" ht="14.25"/>
    <row r="337" customFormat="1" ht="14.25"/>
    <row r="338" customFormat="1" ht="14.25"/>
    <row r="339" customFormat="1" ht="14.25"/>
    <row r="340" customFormat="1" ht="14.25"/>
    <row r="341" customFormat="1" ht="14.25"/>
    <row r="342" customFormat="1" ht="14.25"/>
    <row r="343" customFormat="1" ht="14.25"/>
    <row r="344" customFormat="1" ht="14.25"/>
    <row r="345" customFormat="1" ht="14.25"/>
    <row r="346" customFormat="1" ht="14.25"/>
    <row r="347" customFormat="1" ht="14.25"/>
    <row r="348" customFormat="1" ht="14.25"/>
    <row r="349" customFormat="1" ht="14.25"/>
    <row r="350" customFormat="1" ht="14.25"/>
    <row r="351" customFormat="1" ht="14.25"/>
    <row r="352" customFormat="1" ht="14.25"/>
    <row r="353" customFormat="1" ht="14.25"/>
    <row r="354" customFormat="1" ht="14.25"/>
    <row r="355" customFormat="1" ht="14.25"/>
    <row r="356" customFormat="1" ht="14.25"/>
    <row r="357" customFormat="1" ht="14.25"/>
    <row r="358" customFormat="1" ht="14.25"/>
    <row r="359" customFormat="1" ht="14.25"/>
    <row r="360" customFormat="1" ht="14.25"/>
    <row r="361" customFormat="1" ht="14.25"/>
    <row r="362" customFormat="1" ht="14.25"/>
    <row r="363" customFormat="1" ht="14.25"/>
    <row r="364" customFormat="1" ht="14.25"/>
    <row r="365" customFormat="1" ht="14.25"/>
    <row r="366" customFormat="1" ht="14.25"/>
    <row r="367" customFormat="1" ht="14.25"/>
    <row r="368" customFormat="1" ht="14.25"/>
    <row r="369" customFormat="1" ht="14.25"/>
    <row r="370" customFormat="1" ht="14.25"/>
    <row r="371" customFormat="1" ht="14.25"/>
    <row r="372" customFormat="1" ht="14.25"/>
    <row r="373" customFormat="1" ht="14.25"/>
    <row r="374" customFormat="1" ht="14.25"/>
    <row r="375" customFormat="1" ht="14.25"/>
    <row r="376" customFormat="1" ht="14.25"/>
    <row r="377" customFormat="1" ht="14.25"/>
    <row r="378" customFormat="1" ht="14.25"/>
    <row r="379" customFormat="1" ht="14.25"/>
    <row r="380" customFormat="1" ht="14.25"/>
    <row r="381" customFormat="1" ht="14.25"/>
    <row r="382" customFormat="1" ht="14.25"/>
    <row r="383" customFormat="1" ht="14.25"/>
    <row r="384" customFormat="1" ht="14.25"/>
    <row r="385" customFormat="1" ht="14.25"/>
    <row r="386" customFormat="1" ht="14.25"/>
    <row r="387" customFormat="1" ht="14.25"/>
    <row r="388" customFormat="1" ht="14.25"/>
    <row r="389" customFormat="1" ht="14.25"/>
    <row r="390" customFormat="1" ht="14.25"/>
    <row r="391" customFormat="1" ht="14.25"/>
    <row r="392" customFormat="1" ht="14.25"/>
    <row r="393" customFormat="1" ht="14.25"/>
    <row r="394" customFormat="1" ht="14.25"/>
    <row r="395" customFormat="1" ht="14.25"/>
    <row r="396" customFormat="1" ht="14.25"/>
    <row r="397" customFormat="1" ht="14.25"/>
    <row r="398" customFormat="1" ht="14.25"/>
    <row r="399" customFormat="1" ht="14.25"/>
    <row r="400" customFormat="1" ht="14.25"/>
    <row r="401" customFormat="1" ht="14.25"/>
    <row r="402" customFormat="1" ht="14.25"/>
    <row r="403" customFormat="1" ht="14.25"/>
    <row r="404" customFormat="1" ht="14.25"/>
    <row r="405" customFormat="1" ht="14.25"/>
    <row r="406" customFormat="1" ht="14.25"/>
    <row r="407" customFormat="1" ht="14.25"/>
    <row r="408" customFormat="1" ht="14.25"/>
    <row r="409" customFormat="1" ht="14.25"/>
    <row r="410" customFormat="1" ht="14.25"/>
    <row r="411" customFormat="1" ht="14.25"/>
    <row r="412" customFormat="1" ht="14.25"/>
    <row r="413" customFormat="1" ht="14.25"/>
    <row r="414" customFormat="1" ht="14.25"/>
    <row r="415" customFormat="1" ht="14.25"/>
    <row r="416" customFormat="1" ht="14.25"/>
    <row r="417" customFormat="1" ht="14.25"/>
    <row r="418" customFormat="1" ht="14.25"/>
    <row r="419" customFormat="1" ht="14.25"/>
    <row r="420" customFormat="1" ht="14.25"/>
    <row r="421" customFormat="1" ht="14.25"/>
    <row r="422" customFormat="1" ht="14.25"/>
    <row r="423" customFormat="1" ht="14.25"/>
    <row r="424" customFormat="1" ht="14.25"/>
    <row r="425" customFormat="1" ht="14.25"/>
    <row r="426" customFormat="1" ht="14.25"/>
    <row r="427" customFormat="1" ht="14.25"/>
    <row r="428" customFormat="1" ht="14.25"/>
    <row r="429" customFormat="1" ht="14.25"/>
    <row r="430" customFormat="1" ht="14.25"/>
    <row r="431" customFormat="1" ht="14.25"/>
    <row r="432" customFormat="1" ht="14.25"/>
    <row r="433" customFormat="1" ht="14.25"/>
    <row r="434" customFormat="1" ht="14.25"/>
    <row r="435" customFormat="1" ht="14.25"/>
    <row r="436" customFormat="1" ht="14.25"/>
    <row r="437" customFormat="1" ht="14.25"/>
    <row r="438" customFormat="1" ht="14.25"/>
    <row r="439" customFormat="1" ht="14.25"/>
    <row r="440" customFormat="1" ht="14.25"/>
    <row r="441" customFormat="1" ht="14.25"/>
    <row r="442" customFormat="1" ht="14.25"/>
    <row r="443" customFormat="1" ht="14.25"/>
    <row r="444" customFormat="1" ht="14.25"/>
    <row r="445" customFormat="1" ht="14.25"/>
    <row r="446" customFormat="1" ht="14.25"/>
    <row r="447" customFormat="1" ht="14.25"/>
    <row r="448" customFormat="1" ht="14.25"/>
    <row r="449" customFormat="1" ht="14.25"/>
    <row r="450" customFormat="1" ht="14.25"/>
    <row r="451" customFormat="1" ht="14.25"/>
    <row r="452" customFormat="1" ht="14.25"/>
    <row r="453" customFormat="1" ht="14.25"/>
    <row r="454" customFormat="1" ht="14.25"/>
    <row r="455" customFormat="1" ht="14.25"/>
    <row r="456" customFormat="1" ht="14.25"/>
    <row r="457" customFormat="1" ht="14.25"/>
    <row r="458" customFormat="1" ht="14.25"/>
    <row r="459" customFormat="1" ht="14.25"/>
    <row r="460" customFormat="1" ht="14.25"/>
    <row r="461" customFormat="1" ht="14.25"/>
    <row r="462" customFormat="1" ht="14.25"/>
    <row r="463" customFormat="1" ht="14.25"/>
    <row r="464" customFormat="1" ht="14.25"/>
    <row r="465" customFormat="1" ht="14.25"/>
    <row r="466" customFormat="1" ht="14.25"/>
    <row r="467" customFormat="1" ht="14.25"/>
    <row r="468" customFormat="1" ht="14.25"/>
    <row r="469" customFormat="1" ht="14.25"/>
    <row r="470" customFormat="1" ht="14.25"/>
    <row r="471" customFormat="1" ht="14.25"/>
    <row r="472" customFormat="1" ht="14.25"/>
    <row r="473" customFormat="1" ht="14.25"/>
    <row r="474" customFormat="1" ht="14.25"/>
    <row r="475" customFormat="1" ht="14.25"/>
    <row r="476" customFormat="1" ht="14.25"/>
    <row r="477" customFormat="1" ht="14.25"/>
    <row r="478" customFormat="1" ht="14.25"/>
    <row r="479" customFormat="1" ht="14.25"/>
    <row r="480" customFormat="1" ht="14.25"/>
    <row r="481" customFormat="1" ht="14.25"/>
    <row r="482" customFormat="1" ht="14.25"/>
    <row r="483" customFormat="1" ht="14.25"/>
    <row r="484" customFormat="1" ht="14.25"/>
    <row r="485" customFormat="1" ht="14.25"/>
    <row r="486" customFormat="1" ht="14.25"/>
    <row r="487" customFormat="1" ht="14.25"/>
    <row r="488" customFormat="1" ht="14.25"/>
    <row r="489" customFormat="1" ht="14.25"/>
    <row r="490" customFormat="1" ht="14.25"/>
    <row r="491" customFormat="1" ht="14.25"/>
    <row r="492" customFormat="1" ht="14.25"/>
    <row r="493" customFormat="1" ht="14.25"/>
    <row r="494" customFormat="1" ht="14.25"/>
    <row r="495" customFormat="1" ht="14.25"/>
    <row r="496" customFormat="1" ht="14.25"/>
    <row r="497" customFormat="1" ht="14.25"/>
    <row r="498" customFormat="1" ht="14.25"/>
    <row r="499" customFormat="1" ht="14.25"/>
    <row r="500" customFormat="1" ht="14.25"/>
    <row r="501" customFormat="1" ht="14.25"/>
    <row r="502" customFormat="1" ht="14.25"/>
    <row r="503" customFormat="1" ht="14.25"/>
    <row r="504" customFormat="1" ht="14.25"/>
    <row r="505" customFormat="1" ht="14.25"/>
    <row r="506" customFormat="1" ht="14.25"/>
    <row r="507" customFormat="1" ht="14.25"/>
    <row r="508" customFormat="1" ht="14.25"/>
    <row r="509" customFormat="1" ht="14.25"/>
    <row r="510" customFormat="1" ht="14.25"/>
    <row r="511" customFormat="1" ht="14.25"/>
    <row r="512" customFormat="1" ht="14.25"/>
    <row r="513" customFormat="1" ht="14.25"/>
    <row r="514" customFormat="1" ht="14.25"/>
    <row r="515" customFormat="1" ht="14.25"/>
    <row r="516" customFormat="1" ht="14.25"/>
    <row r="517" customFormat="1" ht="14.25"/>
    <row r="518" customFormat="1" ht="14.25"/>
    <row r="519" customFormat="1" ht="14.25"/>
    <row r="520" customFormat="1" ht="14.25"/>
    <row r="521" customFormat="1" ht="14.25"/>
    <row r="522" customFormat="1" ht="14.25"/>
    <row r="523" customFormat="1" ht="14.25"/>
    <row r="524" customFormat="1" ht="14.25"/>
    <row r="525" customFormat="1" ht="14.25"/>
    <row r="526" customFormat="1" ht="14.25"/>
    <row r="527" customFormat="1" ht="14.25"/>
    <row r="528" customFormat="1" ht="14.25"/>
    <row r="529" customFormat="1" ht="14.25"/>
    <row r="530" customFormat="1" ht="14.25"/>
    <row r="531" customFormat="1" ht="14.25"/>
    <row r="532" customFormat="1" ht="14.25"/>
    <row r="533" customFormat="1" ht="14.25"/>
    <row r="534" customFormat="1" ht="14.25"/>
    <row r="535" customFormat="1" ht="14.25"/>
    <row r="536" customFormat="1" ht="14.25"/>
    <row r="537" customFormat="1" ht="14.25"/>
    <row r="538" customFormat="1" ht="14.25"/>
    <row r="539" customFormat="1" ht="14.25"/>
    <row r="540" customFormat="1" ht="14.25"/>
    <row r="541" customFormat="1" ht="14.25"/>
    <row r="542" customFormat="1" ht="14.25"/>
    <row r="543" customFormat="1" ht="14.25"/>
    <row r="544" customFormat="1" ht="14.25"/>
    <row r="545" customFormat="1" ht="14.25"/>
    <row r="546" customFormat="1" ht="14.25"/>
    <row r="547" customFormat="1" ht="14.25"/>
    <row r="548" customFormat="1" ht="14.25"/>
    <row r="549" customFormat="1" ht="14.25"/>
    <row r="550" customFormat="1" ht="14.25"/>
    <row r="551" customFormat="1" ht="14.25"/>
    <row r="552" customFormat="1" ht="14.25"/>
    <row r="553" customFormat="1" ht="14.25"/>
    <row r="554" customFormat="1" ht="14.25"/>
    <row r="555" customFormat="1" ht="14.25"/>
    <row r="556" customFormat="1" ht="14.25"/>
    <row r="557" customFormat="1" ht="14.25"/>
    <row r="558" customFormat="1" ht="14.25"/>
    <row r="559" customFormat="1" ht="14.25"/>
    <row r="560" customFormat="1" ht="14.25"/>
    <row r="561" customFormat="1" ht="14.25"/>
    <row r="562" customFormat="1" ht="14.25"/>
    <row r="563" customFormat="1" ht="14.25"/>
    <row r="564" customFormat="1" ht="14.25"/>
    <row r="565" customFormat="1" ht="14.25"/>
    <row r="566" customFormat="1" ht="14.25"/>
    <row r="567" customFormat="1" ht="14.25"/>
    <row r="568" customFormat="1" ht="14.25"/>
    <row r="569" customFormat="1" ht="14.25"/>
    <row r="570" customFormat="1" ht="14.25"/>
    <row r="571" customFormat="1" ht="14.25"/>
    <row r="572" customFormat="1" ht="14.25"/>
    <row r="573" customFormat="1" ht="14.25"/>
    <row r="574" customFormat="1" ht="14.25"/>
    <row r="575" customFormat="1" ht="14.25"/>
    <row r="576" customFormat="1" ht="14.25"/>
    <row r="577" customFormat="1" ht="14.25"/>
    <row r="578" customFormat="1" ht="14.25"/>
    <row r="579" customFormat="1" ht="14.25"/>
    <row r="580" customFormat="1" ht="14.25"/>
    <row r="581" customFormat="1" ht="14.25"/>
    <row r="582" customFormat="1" ht="14.25"/>
    <row r="583" customFormat="1" ht="14.25"/>
    <row r="584" customFormat="1" ht="14.25"/>
    <row r="585" customFormat="1" ht="14.25"/>
    <row r="586" customFormat="1" ht="14.25"/>
    <row r="587" customFormat="1" ht="14.25"/>
    <row r="588" customFormat="1" ht="14.25"/>
    <row r="589" customFormat="1" ht="14.25"/>
    <row r="590" customFormat="1" ht="14.25"/>
    <row r="591" customFormat="1" ht="14.25"/>
    <row r="592" customFormat="1" ht="14.25"/>
    <row r="593" customFormat="1" ht="14.25"/>
    <row r="594" customFormat="1" ht="14.25"/>
    <row r="595" customFormat="1" ht="14.25"/>
    <row r="596" customFormat="1" ht="14.25"/>
    <row r="597" customFormat="1" ht="14.25"/>
    <row r="598" customFormat="1" ht="14.25"/>
    <row r="599" customFormat="1" ht="14.25"/>
    <row r="600" customFormat="1" ht="14.25"/>
    <row r="601" customFormat="1" ht="14.25"/>
    <row r="602" customFormat="1" ht="14.25"/>
    <row r="603" customFormat="1" ht="14.25"/>
    <row r="604" customFormat="1" ht="14.25"/>
    <row r="605" customFormat="1" ht="14.25"/>
    <row r="606" customFormat="1" ht="14.25"/>
    <row r="607" customFormat="1" ht="14.25"/>
    <row r="608" customFormat="1" ht="14.25"/>
    <row r="609" customFormat="1" ht="14.25"/>
    <row r="610" customFormat="1" ht="14.25"/>
    <row r="611" customFormat="1" ht="14.25"/>
    <row r="612" customFormat="1" ht="14.25"/>
    <row r="613" customFormat="1" ht="14.25"/>
    <row r="614" customFormat="1" ht="14.25"/>
    <row r="615" customFormat="1" ht="14.25"/>
    <row r="616" customFormat="1" ht="14.25"/>
    <row r="617" customFormat="1" ht="14.25"/>
    <row r="618" customFormat="1" ht="14.25"/>
    <row r="619" customFormat="1" ht="14.25"/>
    <row r="620" customFormat="1" ht="14.25"/>
    <row r="621" customFormat="1" ht="14.25"/>
    <row r="622" customFormat="1" ht="14.25"/>
    <row r="623" customFormat="1" ht="14.25"/>
    <row r="624" customFormat="1" ht="14.25"/>
    <row r="625" customFormat="1" ht="14.25"/>
    <row r="626" customFormat="1" ht="14.25"/>
    <row r="627" customFormat="1" ht="14.25"/>
    <row r="628" customFormat="1" ht="14.25"/>
    <row r="629" customFormat="1" ht="14.25"/>
    <row r="630" customFormat="1" ht="14.25"/>
    <row r="631" customFormat="1" ht="14.25"/>
    <row r="632" customFormat="1" ht="14.25"/>
    <row r="633" customFormat="1" ht="14.25"/>
    <row r="634" customFormat="1" ht="14.25"/>
    <row r="635" customFormat="1" ht="14.25"/>
    <row r="636" customFormat="1" ht="14.25"/>
    <row r="637" customFormat="1" ht="14.25"/>
    <row r="638" customFormat="1" ht="14.25"/>
    <row r="639" customFormat="1" ht="14.25"/>
    <row r="640" customFormat="1" ht="14.25"/>
    <row r="641" customFormat="1" ht="14.25"/>
    <row r="642" customFormat="1" ht="14.25"/>
    <row r="643" customFormat="1" ht="14.25"/>
    <row r="644" customFormat="1" ht="14.25"/>
    <row r="645" customFormat="1" ht="14.25"/>
    <row r="646" customFormat="1" ht="14.25"/>
    <row r="647" customFormat="1" ht="14.25"/>
    <row r="648" customFormat="1" ht="14.25"/>
    <row r="649" customFormat="1" ht="14.25"/>
    <row r="650" customFormat="1" ht="14.25"/>
    <row r="651" customFormat="1" ht="14.25"/>
    <row r="652" customFormat="1" ht="14.25"/>
    <row r="653" customFormat="1" ht="14.25"/>
    <row r="654" customFormat="1" ht="14.25"/>
    <row r="655" customFormat="1" ht="14.25"/>
    <row r="656" customFormat="1" ht="14.25"/>
    <row r="657" customFormat="1" ht="14.25"/>
    <row r="658" customFormat="1" ht="14.25"/>
    <row r="659" customFormat="1" ht="14.25"/>
    <row r="660" customFormat="1" ht="14.25"/>
    <row r="661" customFormat="1" ht="14.25"/>
    <row r="662" customFormat="1" ht="14.25"/>
    <row r="663" customFormat="1" ht="14.25"/>
    <row r="664" customFormat="1" ht="14.25"/>
    <row r="665" customFormat="1" ht="14.25"/>
    <row r="666" customFormat="1" ht="14.25"/>
    <row r="667" customFormat="1" ht="14.25"/>
    <row r="668" customFormat="1" ht="14.25"/>
    <row r="669" customFormat="1" ht="14.25"/>
    <row r="670" customFormat="1" ht="14.25"/>
    <row r="671" customFormat="1" ht="14.25"/>
    <row r="672" customFormat="1" ht="14.25"/>
    <row r="673" customFormat="1" ht="14.25"/>
    <row r="674" customFormat="1" ht="14.25"/>
    <row r="675" customFormat="1" ht="14.25"/>
    <row r="676" customFormat="1" ht="14.25"/>
    <row r="677" customFormat="1" ht="14.25"/>
    <row r="678" customFormat="1" ht="14.25"/>
    <row r="679" customFormat="1" ht="14.25"/>
    <row r="680" customFormat="1" ht="14.25"/>
    <row r="681" customFormat="1" ht="14.25"/>
    <row r="682" customFormat="1" ht="14.25"/>
    <row r="683" customFormat="1" ht="14.25"/>
    <row r="684" customFormat="1" ht="14.25"/>
    <row r="685" customFormat="1" ht="14.25"/>
    <row r="686" customFormat="1" ht="14.25"/>
    <row r="687" customFormat="1" ht="14.25"/>
    <row r="688" customFormat="1" ht="14.25"/>
    <row r="689" customFormat="1" ht="14.25"/>
    <row r="690" customFormat="1" ht="14.25"/>
    <row r="691" customFormat="1" ht="14.25"/>
    <row r="692" customFormat="1" ht="14.25"/>
    <row r="693" customFormat="1" ht="14.25"/>
    <row r="694" customFormat="1" ht="14.25"/>
    <row r="695" customFormat="1" ht="14.25"/>
    <row r="696" customFormat="1" ht="14.25"/>
    <row r="697" customFormat="1" ht="14.25"/>
    <row r="698" customFormat="1" ht="14.25"/>
    <row r="699" customFormat="1" ht="14.25"/>
    <row r="700" customFormat="1" ht="14.25"/>
    <row r="701" customFormat="1" ht="14.25"/>
    <row r="702" customFormat="1" ht="14.25"/>
    <row r="703" customFormat="1" ht="14.25"/>
    <row r="704" customFormat="1" ht="14.25"/>
    <row r="705" customFormat="1" ht="14.25"/>
    <row r="706" customFormat="1" ht="14.25"/>
    <row r="707" customFormat="1" ht="14.25"/>
    <row r="708" customFormat="1" ht="14.25"/>
    <row r="709" customFormat="1" ht="14.25"/>
    <row r="710" customFormat="1" ht="14.25"/>
    <row r="711" customFormat="1" ht="14.25"/>
    <row r="712" customFormat="1" ht="14.25"/>
    <row r="713" customFormat="1" ht="14.25"/>
    <row r="714" customFormat="1" ht="14.25"/>
    <row r="715" customFormat="1" ht="14.25"/>
    <row r="716" customFormat="1" ht="14.25"/>
    <row r="717" customFormat="1" ht="14.25"/>
    <row r="718" customFormat="1" ht="14.25"/>
    <row r="719" customFormat="1" ht="14.25"/>
    <row r="720" customFormat="1" ht="14.25"/>
    <row r="721" customFormat="1" ht="14.25"/>
    <row r="722" customFormat="1" ht="14.25"/>
    <row r="723" customFormat="1" ht="14.25"/>
    <row r="724" customFormat="1" ht="14.25"/>
    <row r="725" customFormat="1" ht="14.25"/>
    <row r="726" customFormat="1" ht="14.25"/>
    <row r="727" customFormat="1" ht="14.25"/>
    <row r="728" customFormat="1" ht="14.25"/>
    <row r="729" customFormat="1" ht="14.25"/>
    <row r="730" customFormat="1" ht="14.25"/>
    <row r="731" customFormat="1" ht="14.25"/>
    <row r="732" customFormat="1" ht="14.25"/>
    <row r="733" customFormat="1" ht="14.25"/>
    <row r="734" customFormat="1" ht="14.25"/>
    <row r="735" customFormat="1" ht="14.25"/>
    <row r="736" customFormat="1" ht="14.25"/>
    <row r="737" customFormat="1" ht="14.25"/>
    <row r="738" customFormat="1" ht="14.25"/>
    <row r="739" customFormat="1" ht="14.25"/>
    <row r="740" customFormat="1" ht="14.25"/>
    <row r="741" customFormat="1" ht="14.25"/>
    <row r="742" customFormat="1" ht="14.25"/>
    <row r="743" customFormat="1" ht="14.25"/>
    <row r="744" customFormat="1" ht="14.25"/>
    <row r="745" customFormat="1" ht="14.25"/>
    <row r="746" customFormat="1" ht="14.25"/>
    <row r="747" customFormat="1" ht="14.25"/>
    <row r="748" customFormat="1" ht="14.25"/>
    <row r="749" customFormat="1" ht="14.25"/>
    <row r="750" customFormat="1" ht="14.25"/>
    <row r="751" customFormat="1" ht="14.25"/>
    <row r="752" customFormat="1" ht="14.25"/>
    <row r="753" customFormat="1" ht="14.25"/>
    <row r="754" customFormat="1" ht="14.25"/>
    <row r="755" customFormat="1" ht="14.25"/>
    <row r="756" customFormat="1" ht="14.25"/>
    <row r="757" customFormat="1" ht="14.25"/>
    <row r="758" customFormat="1" ht="14.25"/>
    <row r="759" customFormat="1" ht="14.25"/>
    <row r="760" customFormat="1" ht="14.25"/>
    <row r="761" customFormat="1" ht="14.25"/>
    <row r="762" customFormat="1" ht="14.25"/>
    <row r="763" customFormat="1" ht="14.25"/>
    <row r="764" customFormat="1" ht="14.25"/>
    <row r="765" customFormat="1" ht="14.25"/>
    <row r="766" customFormat="1" ht="14.25"/>
    <row r="767" customFormat="1" ht="14.25"/>
    <row r="768" customFormat="1" ht="14.25"/>
    <row r="769" customFormat="1" ht="14.25"/>
    <row r="770" customFormat="1" ht="14.25"/>
    <row r="771" customFormat="1" ht="14.25"/>
    <row r="772" customFormat="1" ht="14.25"/>
    <row r="773" customFormat="1" ht="14.25"/>
    <row r="774" customFormat="1" ht="14.25"/>
    <row r="775" customFormat="1" ht="14.25"/>
    <row r="776" customFormat="1" ht="14.25"/>
    <row r="777" customFormat="1" ht="14.25"/>
    <row r="778" customFormat="1" ht="14.25"/>
    <row r="779" customFormat="1" ht="14.25"/>
    <row r="780" customFormat="1" ht="14.25"/>
    <row r="781" customFormat="1" ht="14.25"/>
    <row r="782" customFormat="1" ht="14.25"/>
    <row r="783" customFormat="1" ht="14.25"/>
    <row r="784" customFormat="1" ht="14.25"/>
    <row r="785" customFormat="1" ht="14.25"/>
    <row r="786" customFormat="1" ht="14.25"/>
    <row r="787" customFormat="1" ht="14.25"/>
    <row r="788" customFormat="1" ht="14.25"/>
    <row r="789" customFormat="1" ht="14.25"/>
    <row r="790" customFormat="1" ht="14.25"/>
    <row r="791" customFormat="1" ht="14.25"/>
    <row r="792" customFormat="1" ht="14.25"/>
    <row r="793" customFormat="1" ht="14.25"/>
    <row r="794" customFormat="1" ht="14.25"/>
    <row r="795" customFormat="1" ht="14.25"/>
    <row r="796" customFormat="1" ht="14.25"/>
    <row r="797" customFormat="1" ht="14.25"/>
    <row r="798" customFormat="1" ht="14.25"/>
    <row r="799" customFormat="1" ht="14.25"/>
    <row r="800" customFormat="1" ht="14.25"/>
    <row r="801" customFormat="1" ht="14.25"/>
    <row r="802" customFormat="1" ht="14.25"/>
    <row r="803" customFormat="1" ht="14.25"/>
    <row r="804" customFormat="1" ht="14.25"/>
    <row r="805" customFormat="1" ht="14.25"/>
    <row r="806" customFormat="1" ht="14.25"/>
    <row r="807" customFormat="1" ht="14.25"/>
    <row r="808" customFormat="1" ht="14.25"/>
    <row r="809" customFormat="1" ht="14.25"/>
    <row r="810" customFormat="1" ht="14.25"/>
    <row r="811" customFormat="1" ht="14.25"/>
    <row r="812" customFormat="1" ht="14.25"/>
    <row r="813" customFormat="1" ht="14.25"/>
    <row r="814" customFormat="1" ht="14.25"/>
    <row r="815" customFormat="1" ht="14.25"/>
    <row r="816" customFormat="1" ht="14.25"/>
    <row r="817" customFormat="1" ht="14.25"/>
    <row r="818" customFormat="1" ht="14.25"/>
    <row r="819" customFormat="1" ht="14.25"/>
    <row r="820" customFormat="1" ht="14.25"/>
    <row r="821" customFormat="1" ht="14.25"/>
    <row r="822" customFormat="1" ht="14.25"/>
    <row r="823" customFormat="1" ht="14.25"/>
    <row r="824" customFormat="1" ht="14.25"/>
    <row r="825" customFormat="1" ht="14.25"/>
    <row r="826" customFormat="1" ht="14.25"/>
    <row r="827" customFormat="1" ht="14.25"/>
    <row r="828" customFormat="1" ht="14.25"/>
    <row r="829" customFormat="1" ht="14.25"/>
    <row r="830" customFormat="1" ht="14.25"/>
    <row r="831" customFormat="1" ht="14.25"/>
    <row r="832" customFormat="1" ht="14.25"/>
    <row r="833" customFormat="1" ht="14.25"/>
    <row r="834" customFormat="1" ht="14.25"/>
    <row r="835" customFormat="1" ht="14.25"/>
    <row r="836" customFormat="1" ht="14.25"/>
    <row r="837" customFormat="1" ht="14.25"/>
    <row r="838" customFormat="1" ht="14.25"/>
    <row r="839" customFormat="1" ht="14.25"/>
    <row r="840" customFormat="1" ht="14.25"/>
    <row r="841" customFormat="1" ht="14.25"/>
    <row r="842" customFormat="1" ht="14.25"/>
    <row r="843" customFormat="1" ht="14.25"/>
    <row r="844" customFormat="1" ht="14.25"/>
    <row r="845" customFormat="1" ht="14.25"/>
    <row r="846" customFormat="1" ht="14.25"/>
    <row r="847" customFormat="1" ht="14.25"/>
    <row r="848" customFormat="1" ht="14.25"/>
    <row r="849" customFormat="1" ht="14.25"/>
    <row r="850" customFormat="1" ht="14.25"/>
    <row r="851" customFormat="1" ht="14.25"/>
    <row r="852" customFormat="1" ht="14.25"/>
    <row r="853" customFormat="1" ht="14.25"/>
    <row r="854" customFormat="1" ht="14.25"/>
    <row r="855" customFormat="1" ht="14.25"/>
    <row r="856" customFormat="1" ht="14.25"/>
    <row r="857" customFormat="1" ht="14.25"/>
    <row r="858" customFormat="1" ht="14.25"/>
    <row r="859" customFormat="1" ht="14.25"/>
    <row r="860" customFormat="1" ht="14.25"/>
    <row r="861" customFormat="1" ht="14.25"/>
    <row r="862" customFormat="1" ht="14.25"/>
    <row r="863" customFormat="1" ht="14.25"/>
    <row r="864" customFormat="1" ht="14.25"/>
    <row r="865" customFormat="1" ht="14.25"/>
    <row r="866" customFormat="1" ht="14.25"/>
    <row r="867" customFormat="1" ht="14.25"/>
    <row r="868" customFormat="1" ht="14.25"/>
    <row r="869" customFormat="1" ht="14.25"/>
    <row r="870" customFormat="1" ht="14.25"/>
    <row r="871" customFormat="1" ht="14.25"/>
    <row r="872" customFormat="1" ht="14.25"/>
    <row r="873" customFormat="1" ht="14.25"/>
    <row r="874" customFormat="1" ht="14.25"/>
    <row r="875" customFormat="1" ht="14.25"/>
    <row r="876" customFormat="1" ht="14.25"/>
    <row r="877" customFormat="1" ht="14.25"/>
    <row r="878" customFormat="1" ht="14.25"/>
    <row r="879" customFormat="1" ht="14.25"/>
    <row r="880" customFormat="1" ht="14.25"/>
    <row r="881" customFormat="1" ht="14.25"/>
    <row r="882" customFormat="1" ht="14.25"/>
    <row r="883" customFormat="1" ht="14.25"/>
    <row r="884" customFormat="1" ht="14.25"/>
    <row r="885" customFormat="1" ht="14.25"/>
    <row r="886" customFormat="1" ht="14.25"/>
    <row r="887" customFormat="1" ht="14.25"/>
    <row r="888" customFormat="1" ht="14.25"/>
    <row r="889" customFormat="1" ht="14.25"/>
    <row r="890" customFormat="1" ht="14.25"/>
    <row r="891" customFormat="1" ht="14.25"/>
    <row r="892" customFormat="1" ht="14.25"/>
    <row r="893" customFormat="1" ht="14.25"/>
    <row r="894" customFormat="1" ht="14.25"/>
    <row r="895" customFormat="1" ht="14.25"/>
    <row r="896" customFormat="1" ht="14.25"/>
    <row r="897" customFormat="1" ht="14.25"/>
    <row r="898" customFormat="1" ht="14.25"/>
    <row r="899" customFormat="1" ht="14.25"/>
    <row r="900" customFormat="1" ht="14.25"/>
    <row r="901" customFormat="1" ht="14.25"/>
    <row r="902" customFormat="1" ht="14.25"/>
    <row r="903" customFormat="1" ht="14.25"/>
    <row r="904" customFormat="1" ht="14.25"/>
    <row r="905" customFormat="1" ht="14.25"/>
    <row r="906" customFormat="1" ht="14.25"/>
    <row r="907" customFormat="1" ht="14.25"/>
    <row r="908" customFormat="1" ht="14.25"/>
    <row r="909" customFormat="1" ht="14.25"/>
    <row r="910" customFormat="1" ht="14.25"/>
    <row r="911" customFormat="1" ht="14.25"/>
    <row r="912" customFormat="1" ht="14.25"/>
    <row r="913" customFormat="1" ht="14.25"/>
    <row r="914" customFormat="1" ht="14.25"/>
    <row r="915" customFormat="1" ht="14.25"/>
    <row r="916" customFormat="1" ht="14.25"/>
    <row r="917" customFormat="1" ht="14.25"/>
    <row r="918" customFormat="1" ht="14.25"/>
    <row r="919" customFormat="1" ht="14.25"/>
    <row r="920" customFormat="1" ht="14.25"/>
    <row r="921" customFormat="1" ht="14.25"/>
    <row r="922" customFormat="1" ht="14.25"/>
    <row r="923" customFormat="1" ht="14.25"/>
    <row r="924" customFormat="1" ht="14.25"/>
    <row r="925" customFormat="1" ht="14.25"/>
    <row r="926" customFormat="1" ht="14.25"/>
    <row r="927" customFormat="1" ht="14.25"/>
    <row r="928" customFormat="1" ht="14.25"/>
    <row r="929" customFormat="1" ht="14.25"/>
    <row r="930" customFormat="1" ht="14.25"/>
    <row r="931" customFormat="1" ht="14.25"/>
    <row r="932" customFormat="1" ht="14.25"/>
    <row r="933" customFormat="1" ht="14.25"/>
    <row r="934" customFormat="1" ht="14.25"/>
    <row r="935" customFormat="1" ht="14.25"/>
    <row r="936" customFormat="1" ht="14.25"/>
    <row r="937" customFormat="1" ht="14.25"/>
    <row r="938" customFormat="1" ht="14.25"/>
    <row r="939" customFormat="1" ht="14.25"/>
    <row r="940" customFormat="1" ht="14.25"/>
    <row r="941" customFormat="1" ht="14.25"/>
    <row r="942" customFormat="1" ht="14.25"/>
    <row r="943" customFormat="1" ht="14.25"/>
    <row r="944" customFormat="1" ht="14.25"/>
    <row r="945" customFormat="1" ht="14.25"/>
    <row r="946" customFormat="1" ht="14.25"/>
    <row r="947" customFormat="1" ht="14.25"/>
    <row r="948" customFormat="1" ht="14.25"/>
    <row r="949" customFormat="1" ht="14.25"/>
    <row r="950" customFormat="1" ht="14.25"/>
    <row r="951" customFormat="1" ht="14.25"/>
    <row r="952" customFormat="1" ht="14.25"/>
    <row r="953" customFormat="1" ht="14.25"/>
    <row r="954" customFormat="1" ht="14.25"/>
    <row r="955" customFormat="1" ht="14.25"/>
    <row r="956" customFormat="1" ht="14.25"/>
    <row r="957" customFormat="1" ht="14.25"/>
    <row r="958" customFormat="1" ht="14.25"/>
    <row r="959" customFormat="1" ht="14.25"/>
    <row r="960" customFormat="1" ht="14.25"/>
    <row r="961" customFormat="1" ht="14.25"/>
    <row r="962" customFormat="1" ht="14.25"/>
    <row r="963" customFormat="1" ht="14.25"/>
    <row r="964" customFormat="1" ht="14.25"/>
    <row r="965" customFormat="1" ht="14.25"/>
    <row r="966" customFormat="1" ht="14.25"/>
    <row r="967" customFormat="1" ht="14.25"/>
    <row r="968" customFormat="1" ht="14.25"/>
    <row r="969" customFormat="1" ht="14.25"/>
    <row r="970" customFormat="1" ht="14.25"/>
    <row r="971" customFormat="1" ht="14.25"/>
    <row r="972" customFormat="1" ht="14.25"/>
    <row r="973" customFormat="1" ht="14.25"/>
    <row r="974" customFormat="1" ht="14.25"/>
    <row r="975" customFormat="1" ht="14.25"/>
    <row r="976" customFormat="1" ht="14.25"/>
    <row r="977" customFormat="1" ht="14.25"/>
    <row r="978" customFormat="1" ht="14.25"/>
    <row r="979" customFormat="1" ht="14.25"/>
    <row r="980" customFormat="1" ht="14.25"/>
    <row r="981" customFormat="1" ht="14.25"/>
    <row r="982" customFormat="1" ht="14.25"/>
    <row r="983" customFormat="1" ht="14.25"/>
    <row r="984" customFormat="1" ht="14.25"/>
    <row r="985" customFormat="1" ht="14.25"/>
    <row r="986" customFormat="1" ht="14.25"/>
    <row r="987" customFormat="1" ht="14.25"/>
    <row r="988" customFormat="1" ht="14.25"/>
    <row r="989" customFormat="1" ht="14.25"/>
    <row r="990" customFormat="1" ht="14.25"/>
    <row r="991" customFormat="1" ht="14.25"/>
    <row r="992" customFormat="1" ht="14.25"/>
    <row r="993" customFormat="1" ht="14.25"/>
    <row r="994" customFormat="1" ht="14.25"/>
    <row r="995" customFormat="1" ht="14.25"/>
    <row r="996" customFormat="1" ht="14.25"/>
    <row r="997" customFormat="1" ht="14.25"/>
    <row r="998" customFormat="1" ht="14.25"/>
    <row r="999" customFormat="1" ht="14.25"/>
    <row r="1000" customFormat="1" ht="14.25"/>
    <row r="1001" customFormat="1" ht="14.25"/>
    <row r="1002" customFormat="1" ht="14.25"/>
    <row r="1003" customFormat="1" ht="14.25"/>
    <row r="1004" customFormat="1" ht="14.25"/>
    <row r="1005" customFormat="1" ht="14.25"/>
    <row r="1006" customFormat="1" ht="14.25"/>
    <row r="1007" customFormat="1" ht="14.25"/>
    <row r="1008" customFormat="1" ht="14.25"/>
    <row r="1009" customFormat="1" ht="14.25"/>
    <row r="1010" customFormat="1" ht="14.25"/>
    <row r="1011" customFormat="1" ht="14.25"/>
    <row r="1012" customFormat="1" ht="14.25"/>
    <row r="1013" customFormat="1" ht="14.25"/>
    <row r="1014" customFormat="1" ht="14.25"/>
    <row r="1015" customFormat="1" ht="14.25"/>
    <row r="1016" customFormat="1" ht="14.25"/>
    <row r="1017" customFormat="1" ht="14.25"/>
    <row r="1018" customFormat="1" ht="14.25"/>
    <row r="1019" customFormat="1" ht="14.25"/>
    <row r="1020" customFormat="1" ht="14.25"/>
    <row r="1021" customFormat="1" ht="14.25"/>
    <row r="1022" customFormat="1" ht="14.25"/>
    <row r="1023" customFormat="1" ht="14.25"/>
    <row r="1024" customFormat="1" ht="14.25"/>
    <row r="1025" customFormat="1" ht="14.25"/>
    <row r="1026" customFormat="1" ht="14.25"/>
    <row r="1027" customFormat="1" ht="14.25"/>
    <row r="1028" customFormat="1" ht="14.25"/>
    <row r="1029" customFormat="1" ht="14.25"/>
    <row r="1030" customFormat="1" ht="14.25"/>
    <row r="1031" customFormat="1" ht="14.25"/>
    <row r="1032" customFormat="1" ht="14.25"/>
    <row r="1033" customFormat="1" ht="14.25"/>
    <row r="1034" customFormat="1" ht="14.25"/>
    <row r="1035" customFormat="1" ht="14.25"/>
    <row r="1036" customFormat="1" ht="14.25"/>
    <row r="1037" customFormat="1" ht="14.25"/>
    <row r="1038" customFormat="1" ht="14.25"/>
    <row r="1039" customFormat="1" ht="14.25"/>
    <row r="1040" customFormat="1" ht="14.25"/>
    <row r="1041" customFormat="1" ht="14.25"/>
    <row r="1042" customFormat="1" ht="14.25"/>
    <row r="1043" customFormat="1" ht="14.25"/>
    <row r="1044" customFormat="1" ht="14.25"/>
    <row r="1045" customFormat="1" ht="14.25"/>
    <row r="1046" customFormat="1" ht="14.25"/>
    <row r="1047" customFormat="1" ht="14.25"/>
    <row r="1048" customFormat="1" ht="14.25"/>
    <row r="1049" customFormat="1" ht="14.25"/>
    <row r="1050" customFormat="1" ht="14.25"/>
    <row r="1051" customFormat="1" ht="14.25"/>
    <row r="1052" customFormat="1" ht="14.25"/>
    <row r="1053" customFormat="1" ht="14.25"/>
    <row r="1054" customFormat="1" ht="14.25"/>
    <row r="1055" customFormat="1" ht="14.25"/>
    <row r="1056" customFormat="1" ht="14.25"/>
    <row r="1057" customFormat="1" ht="14.25"/>
    <row r="1058" customFormat="1" ht="14.25"/>
    <row r="1059" customFormat="1" ht="14.25"/>
    <row r="1060" customFormat="1" ht="14.25"/>
    <row r="1061" customFormat="1" ht="14.25"/>
    <row r="1062" customFormat="1" ht="14.25"/>
    <row r="1063" customFormat="1" ht="14.25"/>
    <row r="1064" customFormat="1" ht="14.25"/>
    <row r="1065" customFormat="1" ht="14.25"/>
    <row r="1066" customFormat="1" ht="14.25"/>
    <row r="1067" customFormat="1" ht="14.25"/>
    <row r="1068" customFormat="1" ht="14.25"/>
    <row r="1069" customFormat="1" ht="14.25"/>
    <row r="1070" customFormat="1" ht="14.25"/>
    <row r="1071" customFormat="1" ht="14.25"/>
    <row r="1072" customFormat="1" ht="14.25"/>
    <row r="1073" customFormat="1" ht="14.25"/>
    <row r="1074" customFormat="1" ht="14.25"/>
    <row r="1075" customFormat="1" ht="14.25"/>
    <row r="1076" customFormat="1" ht="14.25"/>
    <row r="1077" customFormat="1" ht="14.25"/>
    <row r="1078" customFormat="1" ht="14.25"/>
    <row r="1079" customFormat="1" ht="14.25"/>
    <row r="1080" customFormat="1" ht="14.25"/>
    <row r="1081" customFormat="1" ht="14.25"/>
    <row r="1082" customFormat="1" ht="14.25"/>
    <row r="1083" customFormat="1" ht="14.25"/>
    <row r="1084" customFormat="1" ht="14.25"/>
    <row r="1085" customFormat="1" ht="14.25"/>
    <row r="1086" customFormat="1" ht="14.25"/>
    <row r="1087" customFormat="1" ht="14.25"/>
    <row r="1088" customFormat="1" ht="14.25"/>
    <row r="1089" customFormat="1" ht="14.25"/>
    <row r="1090" customFormat="1" ht="14.25"/>
    <row r="1091" customFormat="1" ht="14.25"/>
    <row r="1092" customFormat="1" ht="14.25"/>
    <row r="1093" customFormat="1" ht="14.25"/>
    <row r="1094" customFormat="1" ht="14.25"/>
    <row r="1095" customFormat="1" ht="14.25"/>
    <row r="1096" customFormat="1" ht="14.25"/>
    <row r="1097" customFormat="1" ht="14.25"/>
    <row r="1098" customFormat="1" ht="14.25"/>
    <row r="1099" customFormat="1" ht="14.25"/>
    <row r="1100" customFormat="1" ht="14.25"/>
    <row r="1101" customFormat="1" ht="14.25"/>
    <row r="1102" customFormat="1" ht="14.25"/>
    <row r="1103" customFormat="1" ht="14.25"/>
    <row r="1104" customFormat="1" ht="14.25"/>
    <row r="1105" customFormat="1" ht="14.25"/>
    <row r="1106" customFormat="1" ht="14.25"/>
    <row r="1107" customFormat="1" ht="14.25"/>
    <row r="1108" customFormat="1" ht="14.25"/>
    <row r="1109" customFormat="1" ht="14.25"/>
    <row r="1110" customFormat="1" ht="14.25"/>
    <row r="1111" customFormat="1" ht="14.25"/>
    <row r="1112" customFormat="1" ht="14.25"/>
    <row r="1113" customFormat="1" ht="14.25"/>
    <row r="1114" customFormat="1" ht="14.25"/>
    <row r="1115" customFormat="1" ht="14.25"/>
    <row r="1116" customFormat="1" ht="14.25"/>
    <row r="1117" customFormat="1" ht="14.25"/>
    <row r="1118" customFormat="1" ht="14.25"/>
    <row r="1119" customFormat="1" ht="14.25"/>
    <row r="1120" customFormat="1" ht="14.25"/>
    <row r="1121" customFormat="1" ht="14.25"/>
    <row r="1122" customFormat="1" ht="14.25"/>
    <row r="1123" customFormat="1" ht="14.25"/>
    <row r="1124" customFormat="1" ht="14.25"/>
    <row r="1125" customFormat="1" ht="14.25"/>
    <row r="1126" customFormat="1" ht="14.25"/>
    <row r="1127" customFormat="1" ht="14.25"/>
    <row r="1128" customFormat="1" ht="14.25"/>
    <row r="1129" customFormat="1" ht="14.25"/>
    <row r="1130" customFormat="1" ht="14.25"/>
    <row r="1131" customFormat="1" ht="14.25"/>
    <row r="1132" customFormat="1" ht="14.25"/>
    <row r="1133" customFormat="1" ht="14.25"/>
    <row r="1134" customFormat="1" ht="14.25"/>
    <row r="1135" customFormat="1" ht="14.25"/>
    <row r="1136" customFormat="1" ht="14.25"/>
    <row r="1137" customFormat="1" ht="14.25"/>
    <row r="1138" customFormat="1" ht="14.25"/>
    <row r="1139" customFormat="1" ht="14.25"/>
    <row r="1140" customFormat="1" ht="14.25"/>
    <row r="1141" customFormat="1" ht="14.25"/>
    <row r="1142" customFormat="1" ht="14.25"/>
    <row r="1143" customFormat="1" ht="14.25"/>
    <row r="1144" customFormat="1" ht="14.25"/>
    <row r="1145" customFormat="1" ht="14.25"/>
    <row r="1146" customFormat="1" ht="14.25"/>
    <row r="1147" customFormat="1" ht="14.25"/>
    <row r="1148" customFormat="1" ht="14.25"/>
    <row r="1149" customFormat="1" ht="14.25"/>
    <row r="1150" customFormat="1" ht="14.25"/>
    <row r="1151" customFormat="1" ht="14.25"/>
    <row r="1152" customFormat="1" ht="14.25"/>
    <row r="1153" customFormat="1" ht="14.25"/>
    <row r="1154" customFormat="1" ht="14.25"/>
    <row r="1155" customFormat="1" ht="14.25"/>
    <row r="1156" customFormat="1" ht="14.25"/>
    <row r="1157" customFormat="1" ht="14.25"/>
    <row r="1158" customFormat="1" ht="14.25"/>
    <row r="1159" customFormat="1" ht="14.25"/>
    <row r="1160" customFormat="1" ht="14.25"/>
    <row r="1161" customFormat="1" ht="14.25"/>
    <row r="1162" customFormat="1" ht="14.25"/>
    <row r="1163" customFormat="1" ht="14.25"/>
    <row r="1164" customFormat="1" ht="14.25"/>
    <row r="1165" customFormat="1" ht="14.25"/>
    <row r="1166" customFormat="1" ht="14.25"/>
    <row r="1167" customFormat="1" ht="14.25"/>
    <row r="1168" customFormat="1" ht="14.25"/>
    <row r="1169" customFormat="1" ht="14.25"/>
    <row r="1170" customFormat="1" ht="14.25"/>
    <row r="1171" customFormat="1" ht="14.25"/>
    <row r="1172" customFormat="1" ht="14.25"/>
    <row r="1173" customFormat="1" ht="14.25"/>
    <row r="1174" customFormat="1" ht="14.25"/>
    <row r="1175" customFormat="1" ht="14.25"/>
    <row r="1176" customFormat="1" ht="14.25"/>
    <row r="1177" customFormat="1" ht="14.25"/>
    <row r="1178" customFormat="1" ht="14.25"/>
    <row r="1179" customFormat="1" ht="14.25"/>
    <row r="1180" customFormat="1" ht="14.25"/>
    <row r="1181" customFormat="1" ht="14.25"/>
    <row r="1182" customFormat="1" ht="14.25"/>
    <row r="1183" customFormat="1" ht="14.25"/>
    <row r="1184" customFormat="1" ht="14.25"/>
    <row r="1185" customFormat="1" ht="14.25"/>
    <row r="1186" customFormat="1" ht="14.25"/>
    <row r="1187" customFormat="1" ht="14.25"/>
    <row r="1188" customFormat="1" ht="14.25"/>
    <row r="1189" customFormat="1" ht="14.25"/>
    <row r="1190" customFormat="1" ht="14.25"/>
    <row r="1191" customFormat="1" ht="14.25"/>
    <row r="1192" customFormat="1" ht="14.25"/>
    <row r="1193" customFormat="1" ht="14.25"/>
    <row r="1194" customFormat="1" ht="14.25"/>
    <row r="1195" customFormat="1" ht="14.25"/>
    <row r="1196" customFormat="1" ht="14.25"/>
    <row r="1197" customFormat="1" ht="14.25"/>
    <row r="1198" customFormat="1" ht="14.25"/>
    <row r="1199" customFormat="1" ht="14.25"/>
    <row r="1200" customFormat="1" ht="14.25"/>
    <row r="1201" customFormat="1" ht="14.25"/>
    <row r="1202" customFormat="1" ht="14.25"/>
    <row r="1203" customFormat="1" ht="14.25"/>
    <row r="1204" customFormat="1" ht="14.25"/>
    <row r="1205" customFormat="1" ht="14.25"/>
    <row r="1206" customFormat="1" ht="14.25"/>
    <row r="1207" customFormat="1" ht="14.25"/>
    <row r="1208" customFormat="1" ht="14.25"/>
    <row r="1209" customFormat="1" ht="14.25"/>
    <row r="1210" customFormat="1" ht="14.25"/>
    <row r="1211" customFormat="1" ht="14.25"/>
    <row r="1212" customFormat="1" ht="14.25"/>
    <row r="1213" customFormat="1" ht="14.25"/>
    <row r="1214" customFormat="1" ht="14.25"/>
    <row r="1215" customFormat="1" ht="14.25"/>
    <row r="1216" customFormat="1" ht="14.25"/>
    <row r="1217" customFormat="1" ht="14.25"/>
    <row r="1218" customFormat="1" ht="14.25"/>
    <row r="1219" customFormat="1" ht="14.25"/>
    <row r="1220" customFormat="1" ht="14.25"/>
    <row r="1221" customFormat="1" ht="14.25"/>
    <row r="1222" customFormat="1" ht="14.25"/>
    <row r="1223" customFormat="1" ht="14.25"/>
    <row r="1224" customFormat="1" ht="14.25"/>
    <row r="1225" customFormat="1" ht="14.25"/>
    <row r="1226" customFormat="1" ht="14.25"/>
    <row r="1227" customFormat="1" ht="14.25"/>
    <row r="1228" customFormat="1" ht="14.25"/>
    <row r="1229" customFormat="1" ht="14.25"/>
    <row r="1230" customFormat="1" ht="14.25"/>
    <row r="1231" customFormat="1" ht="14.25"/>
    <row r="1232" customFormat="1" ht="14.25"/>
    <row r="1233" customFormat="1" ht="14.25"/>
    <row r="1234" customFormat="1" ht="14.25"/>
    <row r="1235" customFormat="1" ht="14.25"/>
    <row r="1236" customFormat="1" ht="14.25"/>
    <row r="1237" customFormat="1" ht="14.25"/>
    <row r="1238" customFormat="1" ht="14.25"/>
    <row r="1239" customFormat="1" ht="14.25"/>
    <row r="1240" customFormat="1" ht="14.25"/>
    <row r="1241" customFormat="1" ht="14.25"/>
    <row r="1242" customFormat="1" ht="14.25"/>
    <row r="1243" customFormat="1" ht="14.25"/>
    <row r="1244" customFormat="1" ht="14.25"/>
    <row r="1245" customFormat="1" ht="14.25"/>
    <row r="1246" customFormat="1" ht="14.25"/>
    <row r="1247" customFormat="1" ht="14.25"/>
    <row r="1248" customFormat="1" ht="14.25"/>
    <row r="1249" customFormat="1" ht="14.25"/>
    <row r="1250" customFormat="1" ht="14.25"/>
    <row r="1251" customFormat="1" ht="14.25"/>
    <row r="1252" customFormat="1" ht="14.25"/>
    <row r="1253" customFormat="1" ht="14.25"/>
    <row r="1254" customFormat="1" ht="14.25"/>
    <row r="1255" customFormat="1" ht="14.25"/>
    <row r="1256" customFormat="1" ht="14.25"/>
    <row r="1257" customFormat="1" ht="14.25"/>
    <row r="1258" customFormat="1" ht="14.25"/>
    <row r="1259" customFormat="1" ht="14.25"/>
    <row r="1260" customFormat="1" ht="14.25"/>
    <row r="1261" customFormat="1" ht="14.25"/>
    <row r="1262" customFormat="1" ht="14.25"/>
    <row r="1263" customFormat="1" ht="14.25"/>
    <row r="1264" customFormat="1" ht="14.25"/>
    <row r="1265" customFormat="1" ht="14.25"/>
    <row r="1266" customFormat="1" ht="14.25"/>
    <row r="1267" customFormat="1" ht="14.25"/>
    <row r="1268" customFormat="1" ht="14.25"/>
    <row r="1269" customFormat="1" ht="14.25"/>
    <row r="1270" customFormat="1" ht="14.25"/>
    <row r="1271" customFormat="1" ht="14.25"/>
    <row r="1272" customFormat="1" ht="14.25"/>
    <row r="1273" customFormat="1" ht="14.25"/>
    <row r="1274" customFormat="1" ht="14.25"/>
    <row r="1275" customFormat="1" ht="14.25"/>
    <row r="1276" customFormat="1" ht="14.25"/>
    <row r="1277" customFormat="1" ht="14.25"/>
    <row r="1278" customFormat="1" ht="14.25"/>
    <row r="1279" customFormat="1" ht="14.25"/>
    <row r="1280" customFormat="1" ht="14.25"/>
    <row r="1281" customFormat="1" ht="14.25"/>
    <row r="1282" customFormat="1" ht="14.25"/>
    <row r="1283" customFormat="1" ht="14.25"/>
    <row r="1284" customFormat="1" ht="14.25"/>
    <row r="1285" customFormat="1" ht="14.25"/>
    <row r="1286" customFormat="1" ht="14.25"/>
    <row r="1287" customFormat="1" ht="14.25"/>
    <row r="1288" customFormat="1" ht="14.25"/>
    <row r="1289" customFormat="1" ht="14.25"/>
    <row r="1290" customFormat="1" ht="14.25"/>
    <row r="1291" customFormat="1" ht="14.25"/>
    <row r="1292" customFormat="1" ht="14.25"/>
    <row r="1293" customFormat="1" ht="14.25"/>
    <row r="1294" customFormat="1" ht="14.25"/>
    <row r="1295" customFormat="1" ht="14.25"/>
    <row r="1296" customFormat="1" ht="14.25"/>
    <row r="1297" customFormat="1" ht="14.25"/>
    <row r="1298" customFormat="1" ht="14.25"/>
    <row r="1299" customFormat="1" ht="14.25"/>
    <row r="1300" customFormat="1" ht="14.25"/>
    <row r="1301" customFormat="1" ht="14.25"/>
    <row r="1302" customFormat="1" ht="14.25"/>
    <row r="1303" customFormat="1" ht="14.25"/>
    <row r="1304" customFormat="1" ht="14.25"/>
    <row r="1305" customFormat="1" ht="14.25"/>
    <row r="1306" customFormat="1" ht="14.25"/>
    <row r="1307" customFormat="1" ht="14.25"/>
    <row r="1308" customFormat="1" ht="14.25"/>
    <row r="1309" customFormat="1" ht="14.25"/>
    <row r="1310" customFormat="1" ht="14.25"/>
    <row r="1311" customFormat="1" ht="14.25"/>
    <row r="1312" customFormat="1" ht="14.25"/>
    <row r="1313" customFormat="1" ht="14.25"/>
    <row r="1314" customFormat="1" ht="14.25"/>
    <row r="1315" customFormat="1" ht="14.25"/>
    <row r="1316" customFormat="1" ht="14.25"/>
    <row r="1317" customFormat="1" ht="14.25"/>
    <row r="1318" customFormat="1" ht="14.25"/>
    <row r="1319" customFormat="1" ht="14.25"/>
    <row r="1320" customFormat="1" ht="14.25"/>
    <row r="1321" customFormat="1" ht="14.25"/>
    <row r="1322" customFormat="1" ht="14.25"/>
    <row r="1323" customFormat="1" ht="14.25"/>
    <row r="1324" customFormat="1" ht="14.25"/>
    <row r="1325" customFormat="1" ht="14.25"/>
    <row r="1326" customFormat="1" ht="14.25"/>
    <row r="1327" customFormat="1" ht="14.25"/>
    <row r="1328" customFormat="1" ht="14.25"/>
    <row r="1329" customFormat="1" ht="14.25"/>
    <row r="1330" customFormat="1" ht="14.25"/>
    <row r="1331" customFormat="1" ht="14.25"/>
    <row r="1332" customFormat="1" ht="14.25"/>
    <row r="1333" customFormat="1" ht="14.25"/>
    <row r="1334" customFormat="1" ht="14.25"/>
    <row r="1335" customFormat="1" ht="14.25"/>
    <row r="1336" customFormat="1" ht="14.25"/>
    <row r="1337" customFormat="1" ht="14.25"/>
    <row r="1338" customFormat="1" ht="14.25"/>
    <row r="1339" customFormat="1" ht="14.25"/>
    <row r="1340" customFormat="1" ht="14.25"/>
    <row r="1341" customFormat="1" ht="14.25"/>
    <row r="1342" customFormat="1" ht="14.25"/>
    <row r="1343" customFormat="1" ht="14.25"/>
    <row r="1344" customFormat="1" ht="14.25"/>
    <row r="1345" customFormat="1" ht="14.25"/>
    <row r="1346" customFormat="1" ht="14.25"/>
    <row r="1347" customFormat="1" ht="14.25"/>
    <row r="1348" customFormat="1" ht="14.25"/>
    <row r="1349" customFormat="1" ht="14.25"/>
    <row r="1350" customFormat="1" ht="14.25"/>
    <row r="1351" customFormat="1" ht="14.25"/>
    <row r="1352" customFormat="1" ht="14.25"/>
    <row r="1353" customFormat="1" ht="14.25"/>
    <row r="1354" customFormat="1" ht="14.25"/>
    <row r="1355" customFormat="1" ht="14.25"/>
    <row r="1356" customFormat="1" ht="14.25"/>
    <row r="1357" customFormat="1" ht="14.25"/>
    <row r="1358" customFormat="1" ht="14.25"/>
    <row r="1359" customFormat="1" ht="14.25"/>
    <row r="1360" customFormat="1" ht="14.25"/>
    <row r="1361" customFormat="1" ht="14.25"/>
    <row r="1362" customFormat="1" ht="14.25"/>
    <row r="1363" customFormat="1" ht="14.25"/>
    <row r="1364" customFormat="1" ht="14.25"/>
    <row r="1365" customFormat="1" ht="14.25"/>
    <row r="1366" customFormat="1" ht="14.25"/>
    <row r="1367" customFormat="1" ht="14.25"/>
    <row r="1368" customFormat="1" ht="14.25"/>
    <row r="1369" customFormat="1" ht="14.25"/>
    <row r="1370" customFormat="1" ht="14.25"/>
    <row r="1371" customFormat="1" ht="14.25"/>
    <row r="1372" customFormat="1" ht="14.25"/>
    <row r="1373" customFormat="1" ht="14.25"/>
    <row r="1374" customFormat="1" ht="14.25"/>
    <row r="1375" customFormat="1" ht="14.25"/>
    <row r="1376" customFormat="1" ht="14.25"/>
    <row r="1377" customFormat="1" ht="14.25"/>
    <row r="1378" customFormat="1" ht="14.25"/>
    <row r="1379" customFormat="1" ht="14.25"/>
    <row r="1380" customFormat="1" ht="14.25"/>
    <row r="1381" customFormat="1" ht="14.25"/>
    <row r="1382" customFormat="1" ht="14.25"/>
    <row r="1383" customFormat="1" ht="14.25"/>
    <row r="1384" customFormat="1" ht="14.25"/>
    <row r="1385" customFormat="1" ht="14.25"/>
    <row r="1386" customFormat="1" ht="14.25"/>
    <row r="1387" customFormat="1" ht="14.25"/>
    <row r="1388" customFormat="1" ht="14.25"/>
    <row r="1389" customFormat="1" ht="14.25"/>
    <row r="1390" customFormat="1" ht="14.25"/>
    <row r="1391" customFormat="1" ht="14.25"/>
    <row r="1392" customFormat="1" ht="14.25"/>
    <row r="1393" customFormat="1" ht="14.25"/>
    <row r="1394" customFormat="1" ht="14.25"/>
    <row r="1395" customFormat="1" ht="14.25"/>
    <row r="1396" customFormat="1" ht="14.25"/>
    <row r="1397" customFormat="1" ht="14.25"/>
    <row r="1398" customFormat="1" ht="14.25"/>
    <row r="1399" customFormat="1" ht="14.25"/>
    <row r="1400" customFormat="1" ht="14.25"/>
    <row r="1401" customFormat="1" ht="14.25"/>
    <row r="1402" customFormat="1" ht="14.25"/>
    <row r="1403" customFormat="1" ht="14.25"/>
    <row r="1404" customFormat="1" ht="14.25"/>
    <row r="1405" customFormat="1" ht="14.25"/>
    <row r="1406" customFormat="1" ht="14.25"/>
    <row r="1407" customFormat="1" ht="14.25"/>
    <row r="1408" customFormat="1" ht="14.25"/>
    <row r="1409" customFormat="1" ht="14.25"/>
    <row r="1410" customFormat="1" ht="14.25"/>
    <row r="1411" customFormat="1" ht="14.25"/>
    <row r="1412" customFormat="1" ht="14.25"/>
    <row r="1413" customFormat="1" ht="14.25"/>
    <row r="1414" customFormat="1" ht="14.25"/>
    <row r="1415" customFormat="1" ht="14.25"/>
    <row r="1416" customFormat="1" ht="14.25"/>
    <row r="1417" customFormat="1" ht="14.25"/>
    <row r="1418" customFormat="1" ht="14.25"/>
    <row r="1419" customFormat="1" ht="14.25"/>
    <row r="1420" customFormat="1" ht="14.25"/>
    <row r="1421" customFormat="1" ht="14.25"/>
    <row r="1422" customFormat="1" ht="14.25"/>
    <row r="1423" customFormat="1" ht="14.25"/>
    <row r="1424" customFormat="1" ht="14.25"/>
    <row r="1425" customFormat="1" ht="14.25"/>
    <row r="1426" customFormat="1" ht="14.25"/>
    <row r="1427" customFormat="1" ht="14.25"/>
    <row r="1428" customFormat="1" ht="14.25"/>
    <row r="1429" customFormat="1" ht="14.25"/>
    <row r="1430" customFormat="1" ht="14.25"/>
    <row r="1431" customFormat="1" ht="14.25"/>
    <row r="1432" customFormat="1" ht="14.25"/>
    <row r="1433" customFormat="1" ht="14.25"/>
    <row r="1434" customFormat="1" ht="14.25"/>
    <row r="1435" customFormat="1" ht="14.25"/>
    <row r="1436" customFormat="1" ht="14.25"/>
    <row r="1437" customFormat="1" ht="14.25"/>
    <row r="1438" customFormat="1" ht="14.25"/>
    <row r="1439" customFormat="1" ht="14.25"/>
    <row r="1440" customFormat="1" ht="14.25"/>
    <row r="1441" customFormat="1" ht="14.25"/>
    <row r="1442" customFormat="1" ht="14.25"/>
    <row r="1443" customFormat="1" ht="14.25"/>
    <row r="1444" customFormat="1" ht="14.25"/>
    <row r="1445" customFormat="1" ht="14.25"/>
    <row r="1446" customFormat="1" ht="14.25"/>
    <row r="1447" customFormat="1" ht="14.25"/>
    <row r="1448" customFormat="1" ht="14.25"/>
    <row r="1449" customFormat="1" ht="14.25"/>
    <row r="1450" customFormat="1" ht="14.25"/>
    <row r="1451" customFormat="1" ht="14.25"/>
    <row r="1452" customFormat="1" ht="14.25"/>
    <row r="1453" customFormat="1" ht="14.25"/>
    <row r="1454" customFormat="1" ht="14.25"/>
    <row r="1455" customFormat="1" ht="14.25"/>
    <row r="1456" customFormat="1" ht="14.25"/>
    <row r="1457" customFormat="1" ht="14.25"/>
    <row r="1458" customFormat="1" ht="14.25"/>
    <row r="1459" customFormat="1" ht="14.25"/>
    <row r="1460" customFormat="1" ht="14.25"/>
    <row r="1461" customFormat="1" ht="14.25"/>
    <row r="1462" customFormat="1" ht="14.25"/>
    <row r="1463" customFormat="1" ht="14.25"/>
    <row r="1464" customFormat="1" ht="14.25"/>
    <row r="1465" customFormat="1" ht="14.25"/>
    <row r="1466" customFormat="1" ht="14.25"/>
    <row r="1467" customFormat="1" ht="14.25"/>
    <row r="1468" customFormat="1" ht="14.25"/>
    <row r="1469" customFormat="1" ht="14.25"/>
    <row r="1470" customFormat="1" ht="14.25"/>
    <row r="1471" customFormat="1" ht="14.25"/>
    <row r="1472" customFormat="1" ht="14.25"/>
    <row r="1473" customFormat="1" ht="14.25"/>
    <row r="1474" customFormat="1" ht="14.25"/>
    <row r="1475" customFormat="1" ht="14.25"/>
    <row r="1476" customFormat="1" ht="14.25"/>
    <row r="1477" customFormat="1" ht="14.25"/>
    <row r="1478" customFormat="1" ht="14.25"/>
    <row r="1479" customFormat="1" ht="14.25"/>
    <row r="1480" customFormat="1" ht="14.25"/>
    <row r="1481" customFormat="1" ht="14.25"/>
    <row r="1482" customFormat="1" ht="14.25"/>
    <row r="1483" customFormat="1" ht="14.25"/>
    <row r="1484" customFormat="1" ht="14.25"/>
    <row r="1485" customFormat="1" ht="14.25"/>
    <row r="1486" customFormat="1" ht="14.25"/>
    <row r="1487" customFormat="1" ht="14.25"/>
    <row r="1488" customFormat="1" ht="14.25"/>
    <row r="1489" customFormat="1" ht="14.25"/>
    <row r="1490" customFormat="1" ht="14.25"/>
    <row r="1491" customFormat="1" ht="14.25"/>
    <row r="1492" customFormat="1" ht="14.25"/>
    <row r="1493" customFormat="1" ht="14.25"/>
    <row r="1494" customFormat="1" ht="14.25"/>
    <row r="1495" customFormat="1" ht="14.25"/>
    <row r="1496" customFormat="1" ht="14.25"/>
    <row r="1497" customFormat="1" ht="14.25"/>
    <row r="1498" customFormat="1" ht="14.25"/>
    <row r="1499" customFormat="1" ht="14.25"/>
    <row r="1500" customFormat="1" ht="14.25"/>
    <row r="1501" customFormat="1" ht="14.25"/>
    <row r="1502" customFormat="1" ht="14.25"/>
    <row r="1503" customFormat="1" ht="14.25"/>
    <row r="1504" customFormat="1" ht="14.25"/>
    <row r="1505" customFormat="1" ht="14.25"/>
    <row r="1506" customFormat="1" ht="14.25"/>
    <row r="1507" customFormat="1" ht="14.25"/>
    <row r="1508" customFormat="1" ht="14.25"/>
    <row r="1509" customFormat="1" ht="14.25"/>
    <row r="1510" customFormat="1" ht="14.25"/>
    <row r="1511" customFormat="1" ht="14.25"/>
    <row r="1512" customFormat="1" ht="14.25"/>
    <row r="1513" customFormat="1" ht="14.25"/>
    <row r="1514" customFormat="1" ht="14.25"/>
    <row r="1515" customFormat="1" ht="14.25"/>
    <row r="1516" customFormat="1" ht="14.25"/>
    <row r="1517" customFormat="1" ht="14.25"/>
    <row r="1518" customFormat="1" ht="14.25"/>
    <row r="1519" customFormat="1" ht="14.25"/>
    <row r="1520" customFormat="1" ht="14.25"/>
    <row r="1521" customFormat="1" ht="14.25"/>
    <row r="1522" customFormat="1" ht="14.25"/>
    <row r="1523" customFormat="1" ht="14.25"/>
    <row r="1524" customFormat="1" ht="14.25"/>
    <row r="1525" customFormat="1" ht="14.25"/>
    <row r="1526" customFormat="1" ht="14.25"/>
    <row r="1527" customFormat="1" ht="14.25"/>
    <row r="1528" customFormat="1" ht="14.25"/>
    <row r="1529" customFormat="1" ht="14.25"/>
    <row r="1530" customFormat="1" ht="14.25"/>
    <row r="1531" customFormat="1" ht="14.25"/>
    <row r="1532" customFormat="1" ht="14.25"/>
    <row r="1533" customFormat="1" ht="14.25"/>
    <row r="1534" customFormat="1" ht="14.25"/>
    <row r="1535" customFormat="1" ht="14.25"/>
    <row r="1536" customFormat="1" ht="14.25"/>
    <row r="1537" customFormat="1" ht="14.25"/>
    <row r="1538" customFormat="1" ht="14.25"/>
    <row r="1539" customFormat="1" ht="14.25"/>
    <row r="1540" customFormat="1" ht="14.25"/>
    <row r="1541" customFormat="1" ht="14.25"/>
    <row r="1542" customFormat="1" ht="14.25"/>
    <row r="1543" customFormat="1" ht="14.25"/>
    <row r="1544" customFormat="1" ht="14.25"/>
    <row r="1545" customFormat="1" ht="14.25"/>
    <row r="1546" customFormat="1" ht="14.25"/>
    <row r="1547" customFormat="1" ht="14.25"/>
    <row r="1548" customFormat="1" ht="14.25"/>
    <row r="1549" customFormat="1" ht="14.25"/>
    <row r="1550" customFormat="1" ht="14.25"/>
    <row r="1551" customFormat="1" ht="14.25"/>
    <row r="1552" customFormat="1" ht="14.25"/>
    <row r="1553" customFormat="1" ht="14.25"/>
    <row r="1554" customFormat="1" ht="14.25"/>
    <row r="1555" customFormat="1" ht="14.25"/>
    <row r="1556" customFormat="1" ht="14.25"/>
    <row r="1557" customFormat="1" ht="14.25"/>
    <row r="1558" customFormat="1" ht="14.25"/>
    <row r="1559" customFormat="1" ht="14.25"/>
    <row r="1560" customFormat="1" ht="14.25"/>
    <row r="1561" customFormat="1" ht="14.25"/>
    <row r="1562" customFormat="1" ht="14.25"/>
    <row r="1563" customFormat="1" ht="14.25"/>
    <row r="1564" customFormat="1" ht="14.25"/>
    <row r="1565" customFormat="1" ht="14.25"/>
    <row r="1566" customFormat="1" ht="14.25"/>
    <row r="1567" customFormat="1" ht="14.25"/>
    <row r="1568" customFormat="1" ht="14.25"/>
    <row r="1569" customFormat="1" ht="14.25"/>
    <row r="1570" customFormat="1" ht="14.25"/>
    <row r="1571" customFormat="1" ht="14.25"/>
    <row r="1572" customFormat="1" ht="14.25"/>
    <row r="1573" customFormat="1" ht="14.25"/>
    <row r="1574" customFormat="1" ht="14.25"/>
    <row r="1575" customFormat="1" ht="14.25"/>
    <row r="1576" customFormat="1" ht="14.25"/>
    <row r="1577" customFormat="1" ht="14.25"/>
    <row r="1578" customFormat="1" ht="14.25"/>
    <row r="1579" customFormat="1" ht="14.25"/>
    <row r="1580" customFormat="1" ht="14.25"/>
    <row r="1581" customFormat="1" ht="14.25"/>
    <row r="1582" customFormat="1" ht="14.25"/>
    <row r="1583" customFormat="1" ht="14.25"/>
    <row r="1584" customFormat="1" ht="14.25"/>
    <row r="1585" customFormat="1" ht="14.25"/>
    <row r="1586" customFormat="1" ht="14.25"/>
    <row r="1587" customFormat="1" ht="14.25"/>
    <row r="1588" customFormat="1" ht="14.25"/>
    <row r="1589" customFormat="1" ht="14.25"/>
    <row r="1590" customFormat="1" ht="14.25"/>
    <row r="1591" customFormat="1" ht="14.25"/>
    <row r="1592" customFormat="1" ht="14.25"/>
    <row r="1593" customFormat="1" ht="14.25"/>
    <row r="1594" customFormat="1" ht="14.25"/>
    <row r="1595" customFormat="1" ht="14.25"/>
    <row r="1596" customFormat="1" ht="14.25"/>
    <row r="1597" customFormat="1" ht="14.25"/>
    <row r="1598" customFormat="1" ht="14.25"/>
    <row r="1599" customFormat="1" ht="14.25"/>
    <row r="1600" customFormat="1" ht="14.25"/>
    <row r="1601" customFormat="1" ht="14.25"/>
    <row r="1602" customFormat="1" ht="14.25"/>
    <row r="1603" customFormat="1" ht="14.25"/>
    <row r="1604" customFormat="1" ht="14.25"/>
    <row r="1605" customFormat="1" ht="14.25"/>
    <row r="1606" customFormat="1" ht="14.25"/>
    <row r="1607" customFormat="1" ht="14.25"/>
    <row r="1608" customFormat="1" ht="14.25"/>
    <row r="1609" customFormat="1" ht="14.25"/>
    <row r="1610" customFormat="1" ht="14.25"/>
    <row r="1611" customFormat="1" ht="14.25"/>
    <row r="1612" customFormat="1" ht="14.25"/>
    <row r="1613" customFormat="1" ht="14.25"/>
    <row r="1614" customFormat="1" ht="14.25"/>
    <row r="1615" customFormat="1" ht="14.25"/>
    <row r="1616" customFormat="1" ht="14.25"/>
    <row r="1617" customFormat="1" ht="14.25"/>
    <row r="1618" customFormat="1" ht="14.25"/>
    <row r="1619" customFormat="1" ht="14.25"/>
    <row r="1620" customFormat="1" ht="14.25"/>
    <row r="1621" customFormat="1" ht="14.25"/>
    <row r="1622" customFormat="1" ht="14.25"/>
    <row r="1623" customFormat="1" ht="14.25"/>
    <row r="1624" customFormat="1" ht="14.25"/>
    <row r="1625" customFormat="1" ht="14.25"/>
    <row r="1626" customFormat="1" ht="14.25"/>
    <row r="1627" customFormat="1" ht="14.25"/>
    <row r="1628" customFormat="1" ht="14.25"/>
    <row r="1629" customFormat="1" ht="14.25"/>
    <row r="1630" customFormat="1" ht="14.25"/>
    <row r="1631" customFormat="1" ht="14.25"/>
    <row r="1632" customFormat="1" ht="14.25"/>
    <row r="1633" customFormat="1" ht="14.25"/>
    <row r="1634" customFormat="1" ht="14.25"/>
    <row r="1635" customFormat="1" ht="14.25"/>
    <row r="1636" customFormat="1" ht="14.25"/>
    <row r="1637" customFormat="1" ht="14.25"/>
    <row r="1638" customFormat="1" ht="14.25"/>
    <row r="1639" customFormat="1" ht="14.25"/>
    <row r="1640" customFormat="1" ht="14.25"/>
    <row r="1641" customFormat="1" ht="14.25"/>
    <row r="1642" customFormat="1" ht="14.25"/>
    <row r="1643" customFormat="1" ht="14.25"/>
    <row r="1644" customFormat="1" ht="14.25"/>
    <row r="1645" customFormat="1" ht="14.25"/>
    <row r="1646" customFormat="1" ht="14.25"/>
    <row r="1647" customFormat="1" ht="14.25"/>
    <row r="1648" customFormat="1" ht="14.25"/>
    <row r="1649" customFormat="1" ht="14.25"/>
    <row r="1650" customFormat="1" ht="14.25"/>
    <row r="1651" customFormat="1" ht="14.25"/>
    <row r="1652" customFormat="1" ht="14.25"/>
    <row r="1653" customFormat="1" ht="14.25"/>
    <row r="1654" customFormat="1" ht="14.25"/>
    <row r="1655" customFormat="1" ht="14.25"/>
    <row r="1656" customFormat="1" ht="14.25"/>
    <row r="1657" customFormat="1" ht="14.25"/>
    <row r="1658" customFormat="1" ht="14.25"/>
    <row r="1659" customFormat="1" ht="14.25"/>
    <row r="1660" customFormat="1" ht="14.25"/>
    <row r="1661" customFormat="1" ht="14.25"/>
    <row r="1662" customFormat="1" ht="14.25"/>
    <row r="1663" customFormat="1" ht="14.25"/>
    <row r="1664" customFormat="1" ht="14.25"/>
    <row r="1665" customFormat="1" ht="14.25"/>
    <row r="1666" customFormat="1" ht="14.25"/>
    <row r="1667" customFormat="1" ht="14.25"/>
    <row r="1668" customFormat="1" ht="14.25"/>
    <row r="1669" customFormat="1" ht="14.25"/>
    <row r="1670" customFormat="1" ht="14.25"/>
    <row r="1671" customFormat="1" ht="14.25"/>
    <row r="1672" customFormat="1" ht="14.25"/>
    <row r="1673" customFormat="1" ht="14.25"/>
    <row r="1674" customFormat="1" ht="14.25"/>
    <row r="1675" customFormat="1" ht="14.25"/>
    <row r="1676" customFormat="1" ht="14.25"/>
    <row r="1677" customFormat="1" ht="14.25"/>
    <row r="1678" customFormat="1" ht="14.25"/>
    <row r="1679" customFormat="1" ht="14.25"/>
    <row r="1680" customFormat="1" ht="14.25"/>
    <row r="1681" customFormat="1" ht="14.25"/>
    <row r="1682" customFormat="1" ht="14.25"/>
    <row r="1683" customFormat="1" ht="14.25"/>
    <row r="1684" customFormat="1" ht="14.25"/>
    <row r="1685" customFormat="1" ht="14.25"/>
    <row r="1686" customFormat="1" ht="14.25"/>
    <row r="1687" customFormat="1" ht="14.25"/>
    <row r="1688" customFormat="1" ht="14.25"/>
    <row r="1689" customFormat="1" ht="14.25"/>
    <row r="1690" customFormat="1" ht="14.25"/>
    <row r="1691" customFormat="1" ht="14.25"/>
    <row r="1692" customFormat="1" ht="14.25"/>
    <row r="1693" customFormat="1" ht="14.25"/>
    <row r="1694" customFormat="1" ht="14.25"/>
    <row r="1695" customFormat="1" ht="14.25"/>
    <row r="1696" customFormat="1" ht="14.25"/>
    <row r="1697" customFormat="1" ht="14.25"/>
    <row r="1698" customFormat="1" ht="14.25"/>
    <row r="1699" customFormat="1" ht="14.25"/>
    <row r="1700" customFormat="1" ht="14.25"/>
    <row r="1701" customFormat="1" ht="14.25"/>
    <row r="1702" customFormat="1" ht="14.25"/>
    <row r="1703" customFormat="1" ht="14.25"/>
    <row r="1704" customFormat="1" ht="14.25"/>
    <row r="1705" customFormat="1" ht="14.25"/>
    <row r="1706" customFormat="1" ht="14.25"/>
    <row r="1707" customFormat="1" ht="14.25"/>
    <row r="1708" customFormat="1" ht="14.25"/>
    <row r="1709" customFormat="1" ht="14.25"/>
    <row r="1710" customFormat="1" ht="14.25"/>
    <row r="1711" customFormat="1" ht="14.25"/>
    <row r="1712" customFormat="1" ht="14.25"/>
    <row r="1713" customFormat="1" ht="14.25"/>
    <row r="1714" customFormat="1" ht="14.25"/>
    <row r="1715" customFormat="1" ht="14.25"/>
    <row r="1716" customFormat="1" ht="14.25"/>
    <row r="1717" customFormat="1" ht="14.25"/>
    <row r="1718" customFormat="1" ht="14.25"/>
    <row r="1719" customFormat="1" ht="14.25"/>
    <row r="1720" customFormat="1" ht="14.25"/>
    <row r="1721" customFormat="1" ht="14.25"/>
    <row r="1722" customFormat="1" ht="14.25"/>
    <row r="1723" customFormat="1" ht="14.25"/>
    <row r="1724" customFormat="1" ht="14.25"/>
    <row r="1725" customFormat="1" ht="14.25"/>
    <row r="1726" customFormat="1" ht="14.25"/>
    <row r="1727" customFormat="1" ht="14.25"/>
    <row r="1728" customFormat="1" ht="14.25"/>
    <row r="1729" customFormat="1" ht="14.25"/>
    <row r="1730" customFormat="1" ht="14.25"/>
    <row r="1731" customFormat="1" ht="14.25"/>
    <row r="1732" customFormat="1" ht="14.25"/>
    <row r="1733" customFormat="1" ht="14.25"/>
    <row r="1734" customFormat="1" ht="14.25"/>
    <row r="1735" customFormat="1" ht="14.25"/>
    <row r="1736" customFormat="1" ht="14.25"/>
    <row r="1737" customFormat="1" ht="14.25"/>
    <row r="1738" customFormat="1" ht="14.25"/>
    <row r="1739" customFormat="1" ht="14.25"/>
    <row r="1740" customFormat="1" ht="14.25"/>
    <row r="1741" customFormat="1" ht="14.25"/>
    <row r="1742" customFormat="1" ht="14.25"/>
    <row r="1743" customFormat="1" ht="14.25"/>
    <row r="1744" customFormat="1" ht="14.25"/>
    <row r="1745" customFormat="1" ht="14.25"/>
    <row r="1746" customFormat="1" ht="14.25"/>
    <row r="1747" customFormat="1" ht="14.25"/>
    <row r="1748" customFormat="1" ht="14.25"/>
    <row r="1749" customFormat="1" ht="14.25"/>
    <row r="1750" customFormat="1" ht="14.25"/>
    <row r="1751" customFormat="1" ht="14.25"/>
    <row r="1752" customFormat="1" ht="14.25"/>
    <row r="1753" customFormat="1" ht="14.25"/>
    <row r="1754" customFormat="1" ht="14.25"/>
    <row r="1755" customFormat="1" ht="14.25"/>
    <row r="1756" customFormat="1" ht="14.25"/>
    <row r="1757" customFormat="1" ht="14.25"/>
    <row r="1758" customFormat="1" ht="14.25"/>
    <row r="1759" customFormat="1" ht="14.25"/>
    <row r="1760" customFormat="1" ht="14.25"/>
    <row r="1761" customFormat="1" ht="14.25"/>
    <row r="1762" customFormat="1" ht="14.25"/>
    <row r="1763" customFormat="1" ht="14.25"/>
    <row r="1764" customFormat="1" ht="14.25"/>
    <row r="1765" customFormat="1" ht="14.25"/>
    <row r="1766" customFormat="1" ht="14.25"/>
    <row r="1767" customFormat="1" ht="14.25"/>
    <row r="1768" customFormat="1" ht="14.25"/>
    <row r="1769" customFormat="1" ht="14.25"/>
    <row r="1770" customFormat="1" ht="14.25"/>
    <row r="1771" customFormat="1" ht="14.25"/>
    <row r="1772" customFormat="1" ht="14.25"/>
    <row r="1773" customFormat="1" ht="14.25"/>
    <row r="1774" customFormat="1" ht="14.25"/>
    <row r="1775" customFormat="1" ht="14.25"/>
    <row r="1776" customFormat="1" ht="14.25"/>
    <row r="1777" customFormat="1" ht="14.25"/>
    <row r="1778" customFormat="1" ht="14.25"/>
    <row r="1779" customFormat="1" ht="14.25"/>
    <row r="1780" customFormat="1" ht="14.25"/>
    <row r="1781" customFormat="1" ht="14.25"/>
    <row r="1782" customFormat="1" ht="14.25"/>
    <row r="1783" customFormat="1" ht="14.25"/>
    <row r="1784" customFormat="1" ht="14.25"/>
    <row r="1785" customFormat="1" ht="14.25"/>
    <row r="1786" customFormat="1" ht="14.25"/>
    <row r="1787" customFormat="1" ht="14.25"/>
    <row r="1788" customFormat="1" ht="14.25"/>
    <row r="1789" customFormat="1" ht="14.25"/>
    <row r="1790" customFormat="1" ht="14.25"/>
    <row r="1791" customFormat="1" ht="14.25"/>
    <row r="1792" customFormat="1" ht="14.25"/>
    <row r="1793" customFormat="1" ht="14.25"/>
    <row r="1794" customFormat="1" ht="14.25"/>
    <row r="1795" customFormat="1" ht="14.25"/>
    <row r="1796" customFormat="1" ht="14.25"/>
    <row r="1797" customFormat="1" ht="14.25"/>
    <row r="1798" customFormat="1" ht="14.25"/>
    <row r="1799" customFormat="1" ht="14.25"/>
    <row r="1800" customFormat="1" ht="14.25"/>
    <row r="1801" customFormat="1" ht="14.25"/>
    <row r="1802" customFormat="1" ht="14.25"/>
    <row r="1803" customFormat="1" ht="14.25"/>
    <row r="1804" customFormat="1" ht="14.25"/>
    <row r="1805" customFormat="1" ht="14.25"/>
    <row r="1806" customFormat="1" ht="14.25"/>
    <row r="1807" customFormat="1" ht="14.25"/>
    <row r="1808" customFormat="1" ht="14.25"/>
    <row r="1809" customFormat="1" ht="14.25"/>
    <row r="1810" customFormat="1" ht="14.25"/>
    <row r="1811" customFormat="1" ht="14.25"/>
    <row r="1812" customFormat="1" ht="14.25"/>
    <row r="1813" customFormat="1" ht="14.25"/>
    <row r="1814" customFormat="1" ht="14.25"/>
    <row r="1815" customFormat="1" ht="14.25"/>
    <row r="1816" customFormat="1" ht="14.25"/>
    <row r="1817" customFormat="1" ht="14.25"/>
    <row r="1818" customFormat="1" ht="14.25"/>
    <row r="1819" customFormat="1" ht="14.25"/>
    <row r="1820" customFormat="1" ht="14.25"/>
    <row r="1821" customFormat="1" ht="14.25"/>
    <row r="1822" customFormat="1" ht="14.25"/>
    <row r="1823" customFormat="1" ht="14.25"/>
    <row r="1824" customFormat="1" ht="14.25"/>
    <row r="1825" customFormat="1" ht="14.25"/>
    <row r="1826" customFormat="1" ht="14.25"/>
    <row r="1827" customFormat="1" ht="14.25"/>
    <row r="1828" customFormat="1" ht="14.25"/>
    <row r="1829" customFormat="1" ht="14.25"/>
    <row r="1830" customFormat="1" ht="14.25"/>
    <row r="1831" customFormat="1" ht="14.25"/>
    <row r="1832" customFormat="1" ht="14.25"/>
    <row r="1833" customFormat="1" ht="14.25"/>
    <row r="1834" customFormat="1" ht="14.25"/>
    <row r="1835" customFormat="1" ht="14.25"/>
    <row r="1836" customFormat="1" ht="14.25"/>
    <row r="1837" customFormat="1" ht="14.25"/>
    <row r="1838" customFormat="1" ht="14.25"/>
    <row r="1839" customFormat="1" ht="14.25"/>
    <row r="1840" customFormat="1" ht="14.25"/>
    <row r="1841" customFormat="1" ht="14.25"/>
    <row r="1842" customFormat="1" ht="14.25"/>
    <row r="1843" customFormat="1" ht="14.25"/>
    <row r="1844" customFormat="1" ht="14.25"/>
    <row r="1845" customFormat="1" ht="14.25"/>
    <row r="1846" customFormat="1" ht="14.25"/>
    <row r="1847" customFormat="1" ht="14.25"/>
    <row r="1848" customFormat="1" ht="14.25"/>
    <row r="1849" customFormat="1" ht="14.25"/>
    <row r="1850" customFormat="1" ht="14.25"/>
    <row r="1851" customFormat="1" ht="14.25"/>
    <row r="1852" customFormat="1" ht="14.25"/>
    <row r="1853" customFormat="1" ht="14.25"/>
    <row r="1854" customFormat="1" ht="14.25"/>
    <row r="1855" customFormat="1" ht="14.25"/>
    <row r="1856" customFormat="1" ht="14.25"/>
    <row r="1857" customFormat="1" ht="14.25"/>
    <row r="1858" customFormat="1" ht="14.25"/>
    <row r="1859" customFormat="1" ht="14.25"/>
    <row r="1860" customFormat="1" ht="14.25"/>
    <row r="1861" customFormat="1" ht="14.25"/>
    <row r="1862" customFormat="1" ht="14.25"/>
    <row r="1863" customFormat="1" ht="14.25"/>
    <row r="1864" customFormat="1" ht="14.25"/>
    <row r="1865" customFormat="1" ht="14.25"/>
    <row r="1866" customFormat="1" ht="14.25"/>
    <row r="1867" customFormat="1" ht="14.25"/>
    <row r="1868" customFormat="1" ht="14.25"/>
    <row r="1869" customFormat="1" ht="14.25"/>
    <row r="1870" customFormat="1" ht="14.25"/>
    <row r="1871" customFormat="1" ht="14.25"/>
    <row r="1872" customFormat="1" ht="14.25"/>
    <row r="1873" customFormat="1" ht="14.25"/>
    <row r="1874" customFormat="1" ht="14.25"/>
    <row r="1875" customFormat="1" ht="14.25"/>
    <row r="1876" customFormat="1" ht="14.25"/>
    <row r="1877" customFormat="1" ht="14.25"/>
    <row r="1878" customFormat="1" ht="14.25"/>
    <row r="1879" customFormat="1" ht="14.25"/>
    <row r="1880" customFormat="1" ht="14.25"/>
    <row r="1881" customFormat="1" ht="14.25"/>
    <row r="1882" customFormat="1" ht="14.25"/>
    <row r="1883" customFormat="1" ht="14.25"/>
    <row r="1884" customFormat="1" ht="14.25"/>
    <row r="1885" customFormat="1" ht="14.25"/>
    <row r="1886" customFormat="1" ht="14.25"/>
    <row r="1887" customFormat="1" ht="14.25"/>
    <row r="1888" customFormat="1" ht="14.25"/>
    <row r="1889" customFormat="1" ht="14.25"/>
    <row r="1890" customFormat="1" ht="14.25"/>
    <row r="1891" customFormat="1" ht="14.25"/>
    <row r="1892" customFormat="1" ht="14.25"/>
    <row r="1893" customFormat="1" ht="14.25"/>
    <row r="1894" customFormat="1" ht="14.25"/>
    <row r="1895" customFormat="1" ht="14.25"/>
    <row r="1896" customFormat="1" ht="14.25"/>
    <row r="1897" customFormat="1" ht="14.25"/>
    <row r="1898" customFormat="1" ht="14.25"/>
    <row r="1899" customFormat="1" ht="14.25"/>
    <row r="1900" customFormat="1" ht="14.25"/>
    <row r="1901" customFormat="1" ht="14.25"/>
    <row r="1902" customFormat="1" ht="14.25"/>
    <row r="1903" customFormat="1" ht="14.25"/>
    <row r="1904" customFormat="1" ht="14.25"/>
    <row r="1905" customFormat="1" ht="14.25"/>
    <row r="1906" customFormat="1" ht="14.25"/>
    <row r="1907" customFormat="1" ht="14.25"/>
    <row r="1908" customFormat="1" ht="14.25"/>
    <row r="1909" customFormat="1" ht="14.25"/>
    <row r="1910" customFormat="1" ht="14.25"/>
    <row r="1911" customFormat="1" ht="14.25"/>
    <row r="1912" customFormat="1" ht="14.25"/>
    <row r="1913" customFormat="1" ht="14.25"/>
    <row r="1914" customFormat="1" ht="14.25"/>
    <row r="1915" customFormat="1" ht="14.25"/>
    <row r="1916" customFormat="1" ht="14.25"/>
    <row r="1917" customFormat="1" ht="14.25"/>
    <row r="1918" customFormat="1" ht="14.25"/>
    <row r="1919" customFormat="1" ht="14.25"/>
    <row r="1920" customFormat="1" ht="14.25"/>
    <row r="1921" customFormat="1" ht="14.25"/>
    <row r="1922" customFormat="1" ht="14.25"/>
    <row r="1923" customFormat="1" ht="14.25"/>
    <row r="1924" customFormat="1" ht="14.25"/>
    <row r="1925" customFormat="1" ht="14.25"/>
    <row r="1926" customFormat="1" ht="14.25"/>
    <row r="1927" customFormat="1" ht="14.25"/>
    <row r="1928" customFormat="1" ht="14.25"/>
    <row r="1929" customFormat="1" ht="14.25"/>
    <row r="1930" customFormat="1" ht="14.25"/>
    <row r="1931" customFormat="1" ht="14.25"/>
    <row r="1932" customFormat="1" ht="14.25"/>
    <row r="1933" customFormat="1" ht="14.25"/>
    <row r="1934" customFormat="1" ht="14.25"/>
    <row r="1935" customFormat="1" ht="14.25"/>
    <row r="1936" customFormat="1" ht="14.25"/>
    <row r="1937" customFormat="1" ht="14.25"/>
    <row r="1938" customFormat="1" ht="14.25"/>
    <row r="1939" customFormat="1" ht="14.25"/>
    <row r="1940" customFormat="1" ht="14.25"/>
    <row r="1941" customFormat="1" ht="14.25"/>
    <row r="1942" customFormat="1" ht="14.25"/>
    <row r="1943" customFormat="1" ht="14.25"/>
    <row r="1944" customFormat="1" ht="14.25"/>
    <row r="1945" customFormat="1" ht="14.25"/>
    <row r="1946" customFormat="1" ht="14.25"/>
    <row r="1947" customFormat="1" ht="14.25"/>
    <row r="1948" customFormat="1" ht="14.25"/>
    <row r="1949" customFormat="1" ht="14.25"/>
    <row r="1950" customFormat="1" ht="14.25"/>
    <row r="1951" customFormat="1" ht="14.25"/>
    <row r="1952" customFormat="1" ht="14.25"/>
    <row r="1953" customFormat="1" ht="14.25"/>
    <row r="1954" customFormat="1" ht="14.25"/>
    <row r="1955" customFormat="1" ht="14.25"/>
    <row r="1956" customFormat="1" ht="14.25"/>
    <row r="1957" customFormat="1" ht="14.25"/>
    <row r="1958" customFormat="1" ht="14.25"/>
    <row r="1959" customFormat="1" ht="14.25"/>
    <row r="1960" customFormat="1" ht="14.25"/>
    <row r="1961" customFormat="1" ht="14.25"/>
    <row r="1962" customFormat="1" ht="14.25"/>
    <row r="1963" customFormat="1" ht="14.25"/>
    <row r="1964" customFormat="1" ht="14.25"/>
    <row r="1965" customFormat="1" ht="14.25"/>
    <row r="1966" customFormat="1" ht="14.25"/>
    <row r="1967" customFormat="1" ht="14.25"/>
    <row r="1968" customFormat="1" ht="14.25"/>
    <row r="1969" customFormat="1" ht="14.25"/>
    <row r="1970" customFormat="1" ht="14.25"/>
    <row r="1971" customFormat="1" ht="14.25"/>
    <row r="1972" customFormat="1" ht="14.25"/>
    <row r="1973" customFormat="1" ht="14.25"/>
    <row r="1974" customFormat="1" ht="14.25"/>
    <row r="1975" customFormat="1" ht="14.25"/>
    <row r="1976" customFormat="1" ht="14.25"/>
    <row r="1977" customFormat="1" ht="14.25"/>
    <row r="1978" customFormat="1" ht="14.25"/>
    <row r="1979" customFormat="1" ht="14.25"/>
    <row r="1980" customFormat="1" ht="14.25"/>
    <row r="1981" customFormat="1" ht="14.25"/>
    <row r="1982" customFormat="1" ht="14.25"/>
    <row r="1983" customFormat="1" ht="14.25"/>
    <row r="1984" customFormat="1" ht="14.25"/>
    <row r="1985" customFormat="1" ht="14.25"/>
    <row r="1986" customFormat="1" ht="14.25"/>
    <row r="1987" customFormat="1" ht="14.25"/>
    <row r="1988" customFormat="1" ht="14.25"/>
    <row r="1989" customFormat="1" ht="14.25"/>
    <row r="1990" customFormat="1" ht="14.25"/>
    <row r="1991" customFormat="1" ht="14.25"/>
    <row r="1992" customFormat="1" ht="14.25"/>
    <row r="1993" customFormat="1" ht="14.25"/>
    <row r="1994" customFormat="1" ht="14.25"/>
    <row r="1995" customFormat="1" ht="14.25"/>
    <row r="1996" customFormat="1" ht="14.25"/>
    <row r="1997" customFormat="1" ht="14.25"/>
    <row r="1998" customFormat="1" ht="14.25"/>
    <row r="1999" customFormat="1" ht="14.25"/>
    <row r="2000" customFormat="1" ht="14.25"/>
    <row r="2001" customFormat="1" ht="14.25"/>
    <row r="2002" customFormat="1" ht="14.25"/>
    <row r="2003" customFormat="1" ht="14.25"/>
    <row r="2004" customFormat="1" ht="14.25"/>
    <row r="2005" customFormat="1" ht="14.25"/>
    <row r="2006" customFormat="1" ht="14.25"/>
    <row r="2007" customFormat="1" ht="14.25"/>
    <row r="2008" customFormat="1" ht="14.25"/>
    <row r="2009" customFormat="1" ht="14.25"/>
    <row r="2010" customFormat="1" ht="14.25"/>
    <row r="2011" customFormat="1" ht="14.25"/>
    <row r="2012" customFormat="1" ht="14.25"/>
    <row r="2013" customFormat="1" ht="14.25"/>
    <row r="2014" customFormat="1" ht="14.25"/>
    <row r="2015" customFormat="1" ht="14.25"/>
    <row r="2016" customFormat="1" ht="14.25"/>
    <row r="2017" customFormat="1" ht="14.25"/>
    <row r="2018" customFormat="1" ht="14.25"/>
    <row r="2019" customFormat="1" ht="14.25"/>
    <row r="2020" customFormat="1" ht="14.25"/>
    <row r="2021" customFormat="1" ht="14.25"/>
    <row r="2022" customFormat="1" ht="14.25"/>
    <row r="2023" customFormat="1" ht="14.25"/>
    <row r="2024" customFormat="1" ht="14.25"/>
    <row r="2025" customFormat="1" ht="14.25"/>
    <row r="2026" customFormat="1" ht="14.25"/>
    <row r="2027" customFormat="1" ht="14.25"/>
    <row r="2028" customFormat="1" ht="14.25"/>
    <row r="2029" customFormat="1" ht="14.25"/>
    <row r="2030" customFormat="1" ht="14.25"/>
    <row r="2031" customFormat="1" ht="14.25"/>
    <row r="2032" customFormat="1" ht="14.25"/>
    <row r="2033" customFormat="1" ht="14.25"/>
    <row r="2034" customFormat="1" ht="14.25"/>
    <row r="2035" customFormat="1" ht="14.25"/>
    <row r="2036" customFormat="1" ht="14.25"/>
    <row r="2037" customFormat="1" ht="14.25"/>
    <row r="2038" customFormat="1" ht="14.25"/>
    <row r="2039" customFormat="1" ht="14.25"/>
    <row r="2040" customFormat="1" ht="14.25"/>
    <row r="2041" customFormat="1" ht="14.25"/>
    <row r="2042" customFormat="1" ht="14.25"/>
    <row r="2043" customFormat="1" ht="14.25"/>
    <row r="2044" customFormat="1" ht="14.25"/>
    <row r="2045" customFormat="1" ht="14.25"/>
    <row r="2046" customFormat="1" ht="14.25"/>
    <row r="2047" customFormat="1" ht="14.25"/>
    <row r="2048" customFormat="1" ht="14.25"/>
    <row r="2049" customFormat="1" ht="14.25"/>
    <row r="2050" customFormat="1" ht="14.25"/>
    <row r="2051" customFormat="1" ht="14.25"/>
    <row r="2052" customFormat="1" ht="14.25"/>
    <row r="2053" customFormat="1" ht="14.25"/>
    <row r="2054" customFormat="1" ht="14.25"/>
    <row r="2055" customFormat="1" ht="14.25"/>
    <row r="2056" customFormat="1" ht="14.25"/>
    <row r="2057" customFormat="1" ht="14.25"/>
    <row r="2058" customFormat="1" ht="14.25"/>
    <row r="2059" customFormat="1" ht="14.25"/>
    <row r="2060" customFormat="1" ht="14.25"/>
    <row r="2061" customFormat="1" ht="14.25"/>
    <row r="2062" customFormat="1" ht="14.25"/>
    <row r="2063" customFormat="1" ht="14.25"/>
    <row r="2064" customFormat="1" ht="14.25"/>
    <row r="2065" customFormat="1" ht="14.25"/>
    <row r="2066" customFormat="1" ht="14.25"/>
    <row r="2067" customFormat="1" ht="14.25"/>
    <row r="2068" customFormat="1" ht="14.25"/>
    <row r="2069" customFormat="1" ht="14.25"/>
    <row r="2070" customFormat="1" ht="14.25"/>
    <row r="2071" customFormat="1" ht="14.25"/>
    <row r="2072" customFormat="1" ht="14.25"/>
    <row r="2073" customFormat="1" ht="14.25"/>
    <row r="2074" customFormat="1" ht="14.25"/>
    <row r="2075" customFormat="1" ht="14.25"/>
    <row r="2076" customFormat="1" ht="14.25"/>
    <row r="2077" customFormat="1" ht="14.25"/>
    <row r="2078" customFormat="1" ht="14.25"/>
    <row r="2079" customFormat="1" ht="14.25"/>
    <row r="2080" customFormat="1" ht="14.25"/>
    <row r="2081" customFormat="1" ht="14.25"/>
    <row r="2082" customFormat="1" ht="14.25"/>
    <row r="2083" customFormat="1" ht="14.25"/>
    <row r="2084" customFormat="1" ht="14.25"/>
    <row r="2085" customFormat="1" ht="14.25"/>
    <row r="2086" customFormat="1" ht="14.25"/>
    <row r="2087" customFormat="1" ht="14.25"/>
    <row r="2088" customFormat="1" ht="14.25"/>
    <row r="2089" customFormat="1" ht="14.25"/>
    <row r="2090" customFormat="1" ht="14.25"/>
    <row r="2091" customFormat="1" ht="14.25"/>
    <row r="2092" customFormat="1" ht="14.25"/>
    <row r="2093" customFormat="1" ht="14.25"/>
    <row r="2094" customFormat="1" ht="14.25"/>
    <row r="2095" customFormat="1" ht="14.25"/>
    <row r="2096" customFormat="1" ht="14.25"/>
    <row r="2097" customFormat="1" ht="14.25"/>
    <row r="2098" customFormat="1" ht="14.25"/>
    <row r="2099" customFormat="1" ht="14.25"/>
    <row r="2100" customFormat="1" ht="14.25"/>
    <row r="2101" customFormat="1" ht="14.25"/>
    <row r="2102" customFormat="1" ht="14.25"/>
    <row r="2103" customFormat="1" ht="14.25"/>
    <row r="2104" customFormat="1" ht="14.25"/>
    <row r="2105" customFormat="1" ht="14.25"/>
    <row r="2106" customFormat="1" ht="14.25"/>
    <row r="2107" customFormat="1" ht="14.25"/>
    <row r="2108" customFormat="1" ht="14.25"/>
    <row r="2109" customFormat="1" ht="14.25"/>
    <row r="2110" customFormat="1" ht="14.25"/>
    <row r="2111" customFormat="1" ht="14.25"/>
    <row r="2112" customFormat="1" ht="14.25"/>
    <row r="2113" customFormat="1" ht="14.25"/>
    <row r="2114" customFormat="1" ht="14.25"/>
    <row r="2115" customFormat="1" ht="14.25"/>
    <row r="2116" customFormat="1" ht="14.25"/>
    <row r="2117" customFormat="1" ht="14.25"/>
    <row r="2118" customFormat="1" ht="14.25"/>
    <row r="2119" customFormat="1" ht="14.25"/>
    <row r="2120" customFormat="1" ht="14.25"/>
    <row r="2121" customFormat="1" ht="14.25"/>
    <row r="2122" customFormat="1" ht="14.25"/>
    <row r="2123" customFormat="1" ht="14.25"/>
    <row r="2124" customFormat="1" ht="14.25"/>
    <row r="2125" customFormat="1" ht="14.25"/>
    <row r="2126" customFormat="1" ht="14.25"/>
    <row r="2127" customFormat="1" ht="14.25"/>
    <row r="2128" customFormat="1" ht="14.25"/>
    <row r="2129" customFormat="1" ht="14.25"/>
    <row r="2130" customFormat="1" ht="14.25"/>
    <row r="2131" customFormat="1" ht="14.25"/>
    <row r="2132" customFormat="1" ht="14.25"/>
    <row r="2133" customFormat="1" ht="14.25"/>
    <row r="2134" customFormat="1" ht="14.25"/>
    <row r="2135" customFormat="1" ht="14.25"/>
    <row r="2136" customFormat="1" ht="14.25"/>
    <row r="2137" customFormat="1" ht="14.25"/>
    <row r="2138" customFormat="1" ht="14.25"/>
    <row r="2139" customFormat="1" ht="14.25"/>
    <row r="2140" customFormat="1" ht="14.25"/>
    <row r="2141" customFormat="1" ht="14.25"/>
    <row r="2142" customFormat="1" ht="14.25"/>
    <row r="2143" customFormat="1" ht="14.25"/>
    <row r="2144" customFormat="1" ht="14.25"/>
    <row r="2145" customFormat="1" ht="14.25"/>
    <row r="2146" customFormat="1" ht="14.25"/>
    <row r="2147" customFormat="1" ht="14.25"/>
    <row r="2148" customFormat="1" ht="14.25"/>
    <row r="2149" customFormat="1" ht="14.25"/>
    <row r="2150" customFormat="1" ht="14.25"/>
    <row r="2151" customFormat="1" ht="14.25"/>
    <row r="2152" customFormat="1" ht="14.25"/>
    <row r="2153" customFormat="1" ht="14.25"/>
    <row r="2154" customFormat="1" ht="14.25"/>
    <row r="2155" customFormat="1" ht="14.25"/>
    <row r="2156" customFormat="1" ht="14.25"/>
    <row r="2157" customFormat="1" ht="14.25"/>
    <row r="2158" customFormat="1" ht="14.25"/>
    <row r="2159" customFormat="1" ht="14.25"/>
    <row r="2160" customFormat="1" ht="14.25"/>
    <row r="2161" customFormat="1" ht="14.25"/>
    <row r="2162" customFormat="1" ht="14.25"/>
    <row r="2163" customFormat="1" ht="14.25"/>
    <row r="2164" customFormat="1" ht="14.25"/>
    <row r="2165" customFormat="1" ht="14.25"/>
    <row r="2166" customFormat="1" ht="14.25"/>
    <row r="2167" customFormat="1" ht="14.25"/>
    <row r="2168" customFormat="1" ht="14.25"/>
    <row r="2169" customFormat="1" ht="14.25"/>
    <row r="2170" customFormat="1" ht="14.25"/>
    <row r="2171" customFormat="1" ht="14.25"/>
    <row r="2172" customFormat="1" ht="14.25"/>
    <row r="2173" customFormat="1" ht="14.25"/>
    <row r="2174" customFormat="1" ht="14.25"/>
    <row r="2175" customFormat="1" ht="14.25"/>
    <row r="2176" customFormat="1" ht="14.25"/>
    <row r="2177" customFormat="1" ht="14.25"/>
    <row r="2178" customFormat="1" ht="14.25"/>
    <row r="2179" customFormat="1" ht="14.25"/>
    <row r="2180" customFormat="1" ht="14.25"/>
    <row r="2181" customFormat="1" ht="14.25"/>
    <row r="2182" customFormat="1" ht="14.25"/>
    <row r="2183" customFormat="1" ht="14.25"/>
    <row r="2184" customFormat="1" ht="14.25"/>
    <row r="2185" customFormat="1" ht="14.25"/>
    <row r="2186" customFormat="1" ht="14.25"/>
    <row r="2187" customFormat="1" ht="14.25"/>
    <row r="2188" customFormat="1" ht="14.25"/>
    <row r="2189" customFormat="1" ht="14.25"/>
    <row r="2190" customFormat="1" ht="14.25"/>
    <row r="2191" customFormat="1" ht="14.25"/>
    <row r="2192" customFormat="1" ht="14.25"/>
    <row r="2193" customFormat="1" ht="14.25"/>
    <row r="2194" customFormat="1" ht="14.25"/>
    <row r="2195" customFormat="1" ht="14.25"/>
    <row r="2196" customFormat="1" ht="14.25"/>
    <row r="2197" customFormat="1" ht="14.25"/>
    <row r="2198" customFormat="1" ht="14.25"/>
    <row r="2199" customFormat="1" ht="14.25"/>
    <row r="2200" customFormat="1" ht="14.25"/>
    <row r="2201" customFormat="1" ht="14.25"/>
    <row r="2202" customFormat="1" ht="14.25"/>
    <row r="2203" customFormat="1" ht="14.25"/>
    <row r="2204" customFormat="1" ht="14.25"/>
    <row r="2205" customFormat="1" ht="14.25"/>
    <row r="2206" customFormat="1" ht="14.25"/>
    <row r="2207" customFormat="1" ht="14.25"/>
    <row r="2208" customFormat="1" ht="14.25"/>
    <row r="2209" customFormat="1" ht="14.25"/>
    <row r="2210" customFormat="1" ht="14.25"/>
    <row r="2211" customFormat="1" ht="14.25"/>
    <row r="2212" customFormat="1" ht="14.25"/>
    <row r="2213" customFormat="1" ht="14.25"/>
    <row r="2214" customFormat="1" ht="14.25"/>
    <row r="2215" customFormat="1" ht="14.25"/>
    <row r="2216" customFormat="1" ht="14.25"/>
    <row r="2217" customFormat="1" ht="14.25"/>
    <row r="2218" customFormat="1" ht="14.25"/>
    <row r="2219" customFormat="1" ht="14.25"/>
    <row r="2220" customFormat="1" ht="14.25"/>
    <row r="2221" customFormat="1" ht="14.25"/>
    <row r="2222" customFormat="1" ht="14.25"/>
    <row r="2223" customFormat="1" ht="14.25"/>
    <row r="2224" customFormat="1" ht="14.25"/>
    <row r="2225" customFormat="1" ht="14.25"/>
    <row r="2226" customFormat="1" ht="14.25"/>
    <row r="2227" customFormat="1" ht="14.25"/>
    <row r="2228" customFormat="1" ht="14.25"/>
    <row r="2229" customFormat="1" ht="14.25"/>
    <row r="2230" customFormat="1" ht="14.25"/>
    <row r="2231" customFormat="1" ht="14.25"/>
    <row r="2232" customFormat="1" ht="14.25"/>
    <row r="2233" customFormat="1" ht="14.25"/>
    <row r="2234" customFormat="1" ht="14.25"/>
    <row r="2235" customFormat="1" ht="14.25"/>
    <row r="2236" customFormat="1" ht="14.25"/>
    <row r="2237" customFormat="1" ht="14.25"/>
    <row r="2238" customFormat="1" ht="14.25"/>
    <row r="2239" customFormat="1" ht="14.25"/>
    <row r="2240" customFormat="1" ht="14.25"/>
    <row r="2241" customFormat="1" ht="14.25"/>
    <row r="2242" customFormat="1" ht="14.25"/>
    <row r="2243" customFormat="1" ht="14.25"/>
    <row r="2244" customFormat="1" ht="14.25"/>
    <row r="2245" customFormat="1" ht="14.25"/>
    <row r="2246" customFormat="1" ht="14.25"/>
    <row r="2247" customFormat="1" ht="14.25"/>
    <row r="2248" customFormat="1" ht="14.25"/>
    <row r="2249" customFormat="1" ht="14.25"/>
    <row r="2250" customFormat="1" ht="14.25"/>
    <row r="2251" customFormat="1" ht="14.25"/>
    <row r="2252" customFormat="1" ht="14.25"/>
    <row r="2253" customFormat="1" ht="14.25"/>
    <row r="2254" customFormat="1" ht="14.25"/>
    <row r="2255" customFormat="1" ht="14.25"/>
    <row r="2256" customFormat="1" ht="14.25"/>
    <row r="2257" customFormat="1" ht="14.25"/>
    <row r="2258" customFormat="1" ht="14.25"/>
    <row r="2259" customFormat="1" ht="14.25"/>
    <row r="2260" customFormat="1" ht="14.25"/>
    <row r="2261" customFormat="1" ht="14.25"/>
    <row r="2262" customFormat="1" ht="14.25"/>
    <row r="2263" customFormat="1" ht="14.25"/>
    <row r="2264" customFormat="1" ht="14.25"/>
    <row r="2265" customFormat="1" ht="14.25"/>
    <row r="2266" customFormat="1" ht="14.25"/>
    <row r="2267" customFormat="1" ht="14.25"/>
    <row r="2268" customFormat="1" ht="14.25"/>
    <row r="2269" customFormat="1" ht="14.25"/>
    <row r="2270" customFormat="1" ht="14.25"/>
    <row r="2271" customFormat="1" ht="14.25"/>
    <row r="2272" customFormat="1" ht="14.25"/>
    <row r="2273" customFormat="1" ht="14.25"/>
    <row r="2274" customFormat="1" ht="14.25"/>
    <row r="2275" customFormat="1" ht="14.25"/>
    <row r="2276" customFormat="1" ht="14.25"/>
    <row r="2277" customFormat="1" ht="14.25"/>
    <row r="2278" customFormat="1" ht="14.25"/>
    <row r="2279" customFormat="1" ht="14.25"/>
    <row r="2280" customFormat="1" ht="14.25"/>
    <row r="2281" customFormat="1" ht="14.25"/>
    <row r="2282" customFormat="1" ht="14.25"/>
    <row r="2283" customFormat="1" ht="14.25"/>
    <row r="2284" customFormat="1" ht="14.25"/>
    <row r="2285" customFormat="1" ht="14.25"/>
    <row r="2286" customFormat="1" ht="14.25"/>
    <row r="2287" customFormat="1" ht="14.25"/>
    <row r="2288" customFormat="1" ht="14.25"/>
    <row r="2289" customFormat="1" ht="14.25"/>
    <row r="2290" customFormat="1" ht="14.25"/>
    <row r="2291" customFormat="1" ht="14.25"/>
    <row r="2292" customFormat="1" ht="14.25"/>
    <row r="2293" customFormat="1" ht="14.25"/>
    <row r="2294" customFormat="1" ht="14.25"/>
    <row r="2295" customFormat="1" ht="14.25"/>
    <row r="2296" customFormat="1" ht="14.25"/>
    <row r="2297" customFormat="1" ht="14.25"/>
    <row r="2298" customFormat="1" ht="14.25"/>
    <row r="2299" customFormat="1" ht="14.25"/>
    <row r="2300" customFormat="1" ht="14.25"/>
    <row r="2301" customFormat="1" ht="14.25"/>
    <row r="2302" customFormat="1" ht="14.25"/>
    <row r="2303" customFormat="1" ht="14.25"/>
    <row r="2304" customFormat="1" ht="14.25"/>
    <row r="2305" customFormat="1" ht="14.25"/>
    <row r="2306" customFormat="1" ht="14.25"/>
    <row r="2307" customFormat="1" ht="14.25"/>
    <row r="2308" customFormat="1" ht="14.25"/>
    <row r="2309" customFormat="1" ht="14.25"/>
    <row r="2310" customFormat="1" ht="14.25"/>
    <row r="2311" customFormat="1" ht="14.25"/>
  </sheetData>
  <pageMargins left="0.7" right="0.7" top="0.75" bottom="0.75" header="0.3" footer="0.3"/>
</worksheet>
</file>

<file path=xl/worksheets/sheet10.xml><?xml version="1.0" encoding="utf-8"?>
<worksheet xmlns="http://schemas.openxmlformats.org/spreadsheetml/2006/main" xmlns:r="http://schemas.openxmlformats.org/officeDocument/2006/relationships">
  <sheetPr codeName="Sheet2"/>
  <dimension ref="A1:BC348"/>
  <sheetViews>
    <sheetView zoomScaleNormal="100" workbookViewId="0">
      <selection activeCell="B1" sqref="B1:E1"/>
    </sheetView>
  </sheetViews>
  <sheetFormatPr defaultRowHeight="14.25"/>
  <cols>
    <col min="1" max="1" width="9.5" style="526" customWidth="1"/>
    <col min="2" max="2" width="11.25" style="491" customWidth="1"/>
    <col min="3" max="3" width="19" customWidth="1"/>
    <col min="4" max="4" width="25.5" customWidth="1"/>
    <col min="5" max="5" width="14.75" customWidth="1"/>
    <col min="6" max="6" width="27.5" customWidth="1"/>
    <col min="7" max="7" width="10.25" style="526" customWidth="1"/>
    <col min="8" max="8" width="6" style="526" hidden="1" customWidth="1"/>
    <col min="9" max="10" width="10.25" style="526" customWidth="1"/>
    <col min="11" max="11" width="21.5" customWidth="1"/>
    <col min="12" max="12" width="21.5" style="491" customWidth="1"/>
    <col min="13" max="13" width="6.375" style="491" customWidth="1"/>
    <col min="14" max="14" width="12" style="491" customWidth="1"/>
    <col min="15" max="55" width="8.125" style="444" customWidth="1"/>
  </cols>
  <sheetData>
    <row r="1" spans="1:55" ht="96" customHeight="1">
      <c r="B1" s="737" t="s">
        <v>319</v>
      </c>
      <c r="C1" s="737"/>
      <c r="D1" s="737"/>
      <c r="E1" s="737"/>
      <c r="F1" s="520"/>
      <c r="G1" s="520"/>
      <c r="H1" s="520"/>
      <c r="I1" s="520"/>
      <c r="J1" s="520"/>
      <c r="K1" s="520"/>
      <c r="L1" s="520"/>
      <c r="M1" s="434"/>
      <c r="N1" s="434"/>
      <c r="O1" s="545"/>
      <c r="P1" s="545"/>
      <c r="Q1" s="545"/>
      <c r="R1" s="545"/>
      <c r="S1" s="545"/>
      <c r="T1" s="545"/>
      <c r="U1" s="545"/>
      <c r="V1" s="545"/>
      <c r="W1" s="545"/>
      <c r="X1" s="545"/>
      <c r="Y1" s="545"/>
      <c r="Z1" s="545"/>
      <c r="AA1" s="545"/>
      <c r="AB1" s="545"/>
      <c r="AC1" s="545"/>
      <c r="AD1" s="545"/>
      <c r="AE1" s="545"/>
      <c r="AF1" s="545"/>
      <c r="AG1" s="545"/>
      <c r="AH1" s="545"/>
      <c r="AI1" s="545"/>
      <c r="AJ1" s="545"/>
      <c r="AK1" s="545"/>
      <c r="AL1" s="545"/>
      <c r="AM1" s="545"/>
      <c r="AN1" s="545"/>
      <c r="AO1" s="545"/>
      <c r="AP1" s="545"/>
      <c r="AQ1" s="545"/>
      <c r="AR1" s="545"/>
      <c r="AS1" s="545"/>
      <c r="AT1" s="545"/>
      <c r="AU1" s="545"/>
      <c r="AV1" s="545"/>
      <c r="AW1" s="545"/>
      <c r="AX1" s="545"/>
      <c r="AY1" s="545"/>
      <c r="AZ1" s="545"/>
      <c r="BA1" s="545"/>
      <c r="BB1" s="545"/>
      <c r="BC1" s="545"/>
    </row>
    <row r="2" spans="1:55" s="50" customFormat="1" ht="34.5" customHeight="1">
      <c r="A2" s="557" t="s">
        <v>253</v>
      </c>
      <c r="B2" s="558" t="s">
        <v>269</v>
      </c>
      <c r="C2" s="558" t="s">
        <v>254</v>
      </c>
      <c r="D2" s="558" t="s">
        <v>255</v>
      </c>
      <c r="E2" s="558" t="s">
        <v>212</v>
      </c>
      <c r="F2" s="558" t="s">
        <v>211</v>
      </c>
      <c r="G2" s="557" t="s">
        <v>220</v>
      </c>
      <c r="H2" s="557" t="s">
        <v>322</v>
      </c>
      <c r="I2" s="559" t="s">
        <v>321</v>
      </c>
      <c r="J2" s="559" t="s">
        <v>320</v>
      </c>
      <c r="K2" s="557" t="s">
        <v>268</v>
      </c>
      <c r="L2" s="557" t="s">
        <v>171</v>
      </c>
      <c r="M2" s="559" t="s">
        <v>280</v>
      </c>
      <c r="N2" s="559" t="s">
        <v>281</v>
      </c>
      <c r="O2" s="536" t="s">
        <v>276</v>
      </c>
      <c r="P2" s="536" t="s">
        <v>277</v>
      </c>
      <c r="Q2" s="539" t="s">
        <v>278</v>
      </c>
      <c r="R2" s="539" t="s">
        <v>279</v>
      </c>
      <c r="S2" s="539" t="s">
        <v>282</v>
      </c>
      <c r="T2" s="539" t="s">
        <v>283</v>
      </c>
      <c r="U2" s="539" t="s">
        <v>284</v>
      </c>
      <c r="V2" s="539" t="s">
        <v>285</v>
      </c>
      <c r="W2" s="539" t="s">
        <v>286</v>
      </c>
      <c r="X2" s="539" t="s">
        <v>287</v>
      </c>
      <c r="Y2" s="539" t="s">
        <v>288</v>
      </c>
      <c r="Z2" s="539" t="s">
        <v>289</v>
      </c>
      <c r="AA2" s="539" t="s">
        <v>290</v>
      </c>
      <c r="AB2" s="539" t="s">
        <v>291</v>
      </c>
      <c r="AC2" s="540" t="s">
        <v>292</v>
      </c>
      <c r="AD2" s="540" t="s">
        <v>293</v>
      </c>
      <c r="AE2" s="540" t="s">
        <v>294</v>
      </c>
      <c r="AF2" s="540" t="s">
        <v>295</v>
      </c>
      <c r="AG2" s="540" t="s">
        <v>296</v>
      </c>
      <c r="AH2" s="540" t="s">
        <v>297</v>
      </c>
      <c r="AI2" s="540" t="s">
        <v>298</v>
      </c>
      <c r="AJ2" s="540" t="s">
        <v>299</v>
      </c>
      <c r="AK2" s="540" t="s">
        <v>300</v>
      </c>
      <c r="AL2" s="540" t="s">
        <v>301</v>
      </c>
      <c r="AM2" s="540" t="s">
        <v>302</v>
      </c>
      <c r="AN2" s="540" t="s">
        <v>303</v>
      </c>
      <c r="AO2" s="537" t="s">
        <v>304</v>
      </c>
      <c r="AP2" s="537" t="s">
        <v>305</v>
      </c>
      <c r="AQ2" s="537" t="s">
        <v>306</v>
      </c>
      <c r="AR2" s="537" t="s">
        <v>307</v>
      </c>
      <c r="AS2" s="537" t="s">
        <v>308</v>
      </c>
      <c r="AT2" s="537" t="s">
        <v>309</v>
      </c>
      <c r="AU2" s="537" t="s">
        <v>310</v>
      </c>
      <c r="AV2" s="537" t="s">
        <v>311</v>
      </c>
      <c r="AW2" s="537" t="s">
        <v>312</v>
      </c>
      <c r="AX2" s="537" t="s">
        <v>313</v>
      </c>
      <c r="AY2" s="537" t="s">
        <v>314</v>
      </c>
      <c r="AZ2" s="537" t="s">
        <v>315</v>
      </c>
      <c r="BA2" s="538" t="s">
        <v>316</v>
      </c>
      <c r="BB2" s="538" t="s">
        <v>317</v>
      </c>
      <c r="BC2" s="538" t="s">
        <v>318</v>
      </c>
    </row>
    <row r="3" spans="1:55">
      <c r="A3" s="531" t="str">
        <f t="shared" ref="A3:A34" si="0">R.1Division</f>
        <v>CP</v>
      </c>
      <c r="B3" s="50" t="str">
        <f t="shared" ref="B3:B34" si="1">R.1CodeName</f>
        <v>Div12</v>
      </c>
      <c r="C3" s="50" t="s">
        <v>256</v>
      </c>
      <c r="D3" s="532" t="s">
        <v>204</v>
      </c>
      <c r="E3" s="50" t="s">
        <v>53</v>
      </c>
      <c r="F3" s="533" t="str">
        <f>R.3SEname</f>
        <v>Jenny Root</v>
      </c>
      <c r="G3" s="543">
        <f>R.3SEhrs</f>
        <v>5</v>
      </c>
      <c r="H3" s="544">
        <f>Table3[[#This Row],[Hrs Rank]]</f>
        <v>5</v>
      </c>
      <c r="I3" s="534">
        <f t="shared" ref="I3:I66" si="2">IF(ISNA(VLOOKUP($H3,R.VL_DEQResourceHours,2,FALSE)),0,VLOOKUP($H3,R.VL_DEQResourceHours,2,FALSE))</f>
        <v>170</v>
      </c>
      <c r="J3" s="534">
        <f t="shared" ref="J3:J66" si="3">IF(ISNA(VLOOKUP($H3,R.VL_DEQResourceHours,3,FALSE)),0,VLOOKUP($H3,R.VL_DEQResourceHours,3,FALSE))</f>
        <v>340</v>
      </c>
      <c r="K3" s="546"/>
      <c r="L3" s="546"/>
      <c r="M3" s="547" t="s">
        <v>228</v>
      </c>
      <c r="N3" s="547" t="s">
        <v>228</v>
      </c>
      <c r="O3" s="548"/>
      <c r="P3" s="549"/>
      <c r="Q3" s="550"/>
      <c r="R3" s="550"/>
      <c r="S3" s="549"/>
      <c r="T3" s="550"/>
      <c r="U3" s="550"/>
      <c r="V3" s="549"/>
      <c r="W3" s="550"/>
      <c r="X3" s="550"/>
      <c r="Y3" s="549"/>
      <c r="Z3" s="550"/>
      <c r="AA3" s="550"/>
      <c r="AB3" s="549"/>
      <c r="AC3" s="550"/>
      <c r="AD3" s="550"/>
      <c r="AE3" s="549"/>
      <c r="AF3" s="550"/>
      <c r="AG3" s="550"/>
      <c r="AH3" s="549"/>
      <c r="AI3" s="550"/>
      <c r="AJ3" s="550"/>
      <c r="AK3" s="549"/>
      <c r="AL3" s="550"/>
      <c r="AM3" s="550"/>
      <c r="AN3" s="549"/>
      <c r="AO3" s="550"/>
      <c r="AP3" s="550"/>
      <c r="AQ3" s="549"/>
      <c r="AR3" s="550"/>
      <c r="AS3" s="550"/>
      <c r="AT3" s="549"/>
      <c r="AU3" s="550"/>
      <c r="AV3" s="550"/>
      <c r="AW3" s="550"/>
      <c r="AX3" s="548"/>
      <c r="AY3" s="550"/>
      <c r="AZ3" s="549"/>
      <c r="BA3" s="550"/>
      <c r="BB3" s="550"/>
      <c r="BC3" s="550"/>
    </row>
    <row r="4" spans="1:55">
      <c r="A4" s="531" t="str">
        <f t="shared" si="0"/>
        <v>CP</v>
      </c>
      <c r="B4" s="50" t="str">
        <f t="shared" si="1"/>
        <v>Div12</v>
      </c>
      <c r="C4" s="50" t="s">
        <v>256</v>
      </c>
      <c r="D4" s="532" t="s">
        <v>119</v>
      </c>
      <c r="E4" s="50" t="s">
        <v>53</v>
      </c>
      <c r="F4" s="533" t="str">
        <f>R.3LMname</f>
        <v>Leah Koss</v>
      </c>
      <c r="G4" s="543">
        <f>R.3LMHrs</f>
        <v>2</v>
      </c>
      <c r="H4" s="544">
        <f>Table3[[#This Row],[Hrs Rank]]</f>
        <v>2</v>
      </c>
      <c r="I4" s="534">
        <f t="shared" si="2"/>
        <v>8</v>
      </c>
      <c r="J4" s="534">
        <f t="shared" si="3"/>
        <v>40</v>
      </c>
      <c r="K4" s="546"/>
      <c r="L4" s="546"/>
      <c r="M4" s="547" t="s">
        <v>228</v>
      </c>
      <c r="N4" s="547" t="s">
        <v>228</v>
      </c>
      <c r="O4" s="548"/>
      <c r="P4" s="549"/>
      <c r="Q4" s="550"/>
      <c r="R4" s="550"/>
      <c r="S4" s="549"/>
      <c r="T4" s="550"/>
      <c r="U4" s="550"/>
      <c r="V4" s="549"/>
      <c r="W4" s="550"/>
      <c r="X4" s="550"/>
      <c r="Y4" s="549"/>
      <c r="Z4" s="550"/>
      <c r="AA4" s="550"/>
      <c r="AB4" s="549"/>
      <c r="AC4" s="550"/>
      <c r="AD4" s="550"/>
      <c r="AE4" s="549"/>
      <c r="AF4" s="550"/>
      <c r="AG4" s="550"/>
      <c r="AH4" s="549"/>
      <c r="AI4" s="550"/>
      <c r="AJ4" s="550"/>
      <c r="AK4" s="549"/>
      <c r="AL4" s="550"/>
      <c r="AM4" s="550"/>
      <c r="AN4" s="549"/>
      <c r="AO4" s="550"/>
      <c r="AP4" s="550"/>
      <c r="AQ4" s="549"/>
      <c r="AR4" s="550"/>
      <c r="AS4" s="550"/>
      <c r="AT4" s="549"/>
      <c r="AU4" s="550"/>
      <c r="AV4" s="550"/>
      <c r="AW4" s="549"/>
      <c r="AX4" s="550"/>
      <c r="AY4" s="550"/>
      <c r="AZ4" s="549"/>
      <c r="BA4" s="550"/>
      <c r="BB4" s="550"/>
      <c r="BC4" s="550"/>
    </row>
    <row r="5" spans="1:55">
      <c r="A5" s="531" t="str">
        <f t="shared" si="0"/>
        <v>CP</v>
      </c>
      <c r="B5" s="50" t="str">
        <f t="shared" si="1"/>
        <v>Div12</v>
      </c>
      <c r="C5" s="50" t="s">
        <v>256</v>
      </c>
      <c r="D5" s="532" t="s">
        <v>120</v>
      </c>
      <c r="E5" s="50" t="s">
        <v>53</v>
      </c>
      <c r="F5" s="533" t="str">
        <f>R.3LAname</f>
        <v>LA name</v>
      </c>
      <c r="G5" s="543">
        <f>R.3LAHrs</f>
        <v>0</v>
      </c>
      <c r="H5" s="544">
        <f>Table3[[#This Row],[Hrs Rank]]</f>
        <v>0</v>
      </c>
      <c r="I5" s="534">
        <f t="shared" si="2"/>
        <v>0</v>
      </c>
      <c r="J5" s="534">
        <f t="shared" si="3"/>
        <v>0</v>
      </c>
      <c r="K5" s="546"/>
      <c r="L5" s="546"/>
      <c r="M5" s="547" t="s">
        <v>228</v>
      </c>
      <c r="N5" s="547" t="s">
        <v>228</v>
      </c>
      <c r="O5" s="548" t="s">
        <v>0</v>
      </c>
      <c r="P5" s="549"/>
      <c r="Q5" s="550"/>
      <c r="R5" s="550"/>
      <c r="S5" s="549"/>
      <c r="T5" s="550"/>
      <c r="U5" s="550"/>
      <c r="V5" s="549"/>
      <c r="W5" s="550"/>
      <c r="X5" s="550"/>
      <c r="Y5" s="549"/>
      <c r="Z5" s="550"/>
      <c r="AA5" s="550"/>
      <c r="AB5" s="549"/>
      <c r="AC5" s="550"/>
      <c r="AD5" s="550"/>
      <c r="AE5" s="549"/>
      <c r="AF5" s="550"/>
      <c r="AG5" s="550"/>
      <c r="AH5" s="549"/>
      <c r="AI5" s="550"/>
      <c r="AJ5" s="550"/>
      <c r="AK5" s="549"/>
      <c r="AL5" s="550"/>
      <c r="AM5" s="550"/>
      <c r="AN5" s="549"/>
      <c r="AO5" s="550"/>
      <c r="AP5" s="550"/>
      <c r="AQ5" s="549"/>
      <c r="AR5" s="550"/>
      <c r="AS5" s="550"/>
      <c r="AT5" s="549"/>
      <c r="AU5" s="550"/>
      <c r="AV5" s="550"/>
      <c r="AW5" s="549"/>
      <c r="AX5" s="550"/>
      <c r="AY5" s="550"/>
      <c r="AZ5" s="549"/>
      <c r="BA5" s="550"/>
      <c r="BB5" s="550"/>
      <c r="BC5" s="550"/>
    </row>
    <row r="6" spans="1:55">
      <c r="A6" s="531" t="str">
        <f t="shared" si="0"/>
        <v>CP</v>
      </c>
      <c r="B6" s="50" t="str">
        <f t="shared" si="1"/>
        <v>Div12</v>
      </c>
      <c r="C6" s="50" t="s">
        <v>256</v>
      </c>
      <c r="D6" s="532" t="s">
        <v>206</v>
      </c>
      <c r="E6" s="50" t="s">
        <v>53</v>
      </c>
      <c r="F6" s="533" t="str">
        <f>R.3PEname</f>
        <v>PE name</v>
      </c>
      <c r="G6" s="543">
        <f>R.3PEHrs</f>
        <v>4</v>
      </c>
      <c r="H6" s="544">
        <f>Table3[[#This Row],[Hrs Rank]]</f>
        <v>4</v>
      </c>
      <c r="I6" s="534">
        <f t="shared" si="2"/>
        <v>80</v>
      </c>
      <c r="J6" s="534">
        <f t="shared" si="3"/>
        <v>170</v>
      </c>
      <c r="K6" s="546"/>
      <c r="L6" s="546"/>
      <c r="M6" s="547" t="s">
        <v>228</v>
      </c>
      <c r="N6" s="547" t="s">
        <v>228</v>
      </c>
      <c r="O6" s="548"/>
      <c r="P6" s="549"/>
      <c r="Q6" s="550"/>
      <c r="R6" s="550"/>
      <c r="S6" s="549"/>
      <c r="T6" s="550"/>
      <c r="U6" s="550"/>
      <c r="V6" s="549"/>
      <c r="W6" s="550"/>
      <c r="X6" s="550"/>
      <c r="Y6" s="549"/>
      <c r="Z6" s="550"/>
      <c r="AA6" s="550"/>
      <c r="AB6" s="549"/>
      <c r="AC6" s="550"/>
      <c r="AD6" s="550"/>
      <c r="AE6" s="549"/>
      <c r="AF6" s="550"/>
      <c r="AG6" s="550"/>
      <c r="AH6" s="549"/>
      <c r="AI6" s="550"/>
      <c r="AJ6" s="550"/>
      <c r="AK6" s="549"/>
      <c r="AL6" s="550"/>
      <c r="AM6" s="550"/>
      <c r="AN6" s="549"/>
      <c r="AO6" s="550"/>
      <c r="AP6" s="550"/>
      <c r="AQ6" s="549"/>
      <c r="AR6" s="550"/>
      <c r="AS6" s="550"/>
      <c r="AT6" s="549"/>
      <c r="AU6" s="550"/>
      <c r="AV6" s="550"/>
      <c r="AW6" s="549"/>
      <c r="AX6" s="550"/>
      <c r="AY6" s="550"/>
      <c r="AZ6" s="549"/>
      <c r="BA6" s="550"/>
      <c r="BB6" s="550"/>
      <c r="BC6" s="550"/>
    </row>
    <row r="7" spans="1:55">
      <c r="A7" s="531" t="str">
        <f t="shared" si="0"/>
        <v>CP</v>
      </c>
      <c r="B7" s="50" t="str">
        <f t="shared" si="1"/>
        <v>Div12</v>
      </c>
      <c r="C7" s="50" t="s">
        <v>256</v>
      </c>
      <c r="D7" s="532" t="s">
        <v>121</v>
      </c>
      <c r="E7" s="50" t="s">
        <v>53</v>
      </c>
      <c r="F7" s="533" t="str">
        <f>R.3PAname</f>
        <v>Debra Nesbit</v>
      </c>
      <c r="G7" s="543">
        <f>R.3PAHrs</f>
        <v>2</v>
      </c>
      <c r="H7" s="544">
        <f>Table3[[#This Row],[Hrs Rank]]</f>
        <v>2</v>
      </c>
      <c r="I7" s="534">
        <f t="shared" si="2"/>
        <v>8</v>
      </c>
      <c r="J7" s="534">
        <f t="shared" si="3"/>
        <v>40</v>
      </c>
      <c r="K7" s="546"/>
      <c r="L7" s="546"/>
      <c r="M7" s="547" t="s">
        <v>228</v>
      </c>
      <c r="N7" s="547" t="s">
        <v>228</v>
      </c>
      <c r="O7" s="548"/>
      <c r="P7" s="549"/>
      <c r="Q7" s="550"/>
      <c r="R7" s="550"/>
      <c r="S7" s="549"/>
      <c r="T7" s="550"/>
      <c r="U7" s="550"/>
      <c r="V7" s="549"/>
      <c r="W7" s="550"/>
      <c r="X7" s="550"/>
      <c r="Y7" s="549"/>
      <c r="Z7" s="550"/>
      <c r="AA7" s="550"/>
      <c r="AB7" s="549"/>
      <c r="AC7" s="550"/>
      <c r="AD7" s="550"/>
      <c r="AE7" s="549"/>
      <c r="AF7" s="550"/>
      <c r="AG7" s="550"/>
      <c r="AH7" s="549"/>
      <c r="AI7" s="550"/>
      <c r="AJ7" s="550"/>
      <c r="AK7" s="549"/>
      <c r="AL7" s="550"/>
      <c r="AM7" s="550"/>
      <c r="AN7" s="549"/>
      <c r="AO7" s="550"/>
      <c r="AP7" s="550"/>
      <c r="AQ7" s="549"/>
      <c r="AR7" s="550"/>
      <c r="AS7" s="550"/>
      <c r="AT7" s="549"/>
      <c r="AU7" s="550"/>
      <c r="AV7" s="550"/>
      <c r="AW7" s="549"/>
      <c r="AX7" s="550"/>
      <c r="AY7" s="550"/>
      <c r="AZ7" s="549"/>
      <c r="BA7" s="550"/>
      <c r="BB7" s="550"/>
      <c r="BC7" s="550"/>
    </row>
    <row r="8" spans="1:55">
      <c r="A8" s="531" t="str">
        <f t="shared" si="0"/>
        <v>CP</v>
      </c>
      <c r="B8" s="50" t="str">
        <f t="shared" si="1"/>
        <v>Div12</v>
      </c>
      <c r="C8" s="50" t="s">
        <v>256</v>
      </c>
      <c r="D8" s="532" t="str">
        <f>R.3CustomRole1</f>
        <v>Subject Expert 2</v>
      </c>
      <c r="E8" s="50" t="s">
        <v>53</v>
      </c>
      <c r="F8" s="533" t="str">
        <f>R.3CustomName1</f>
        <v>Les Carlough</v>
      </c>
      <c r="G8" s="543">
        <f>R.3CustomHrs1</f>
        <v>4</v>
      </c>
      <c r="H8" s="544">
        <f>Table3[[#This Row],[Hrs Rank]]</f>
        <v>4</v>
      </c>
      <c r="I8" s="534">
        <f t="shared" si="2"/>
        <v>80</v>
      </c>
      <c r="J8" s="534">
        <f t="shared" si="3"/>
        <v>170</v>
      </c>
      <c r="K8" s="546"/>
      <c r="L8" s="546"/>
      <c r="M8" s="547" t="s">
        <v>228</v>
      </c>
      <c r="N8" s="547" t="s">
        <v>228</v>
      </c>
      <c r="O8" s="548"/>
      <c r="P8" s="549"/>
      <c r="Q8" s="550"/>
      <c r="R8" s="550"/>
      <c r="S8" s="549"/>
      <c r="T8" s="550"/>
      <c r="U8" s="550"/>
      <c r="V8" s="549"/>
      <c r="W8" s="550"/>
      <c r="X8" s="550"/>
      <c r="Y8" s="549"/>
      <c r="Z8" s="550"/>
      <c r="AA8" s="550"/>
      <c r="AB8" s="549"/>
      <c r="AC8" s="550"/>
      <c r="AD8" s="550"/>
      <c r="AE8" s="549"/>
      <c r="AF8" s="550"/>
      <c r="AG8" s="550"/>
      <c r="AH8" s="549"/>
      <c r="AI8" s="550"/>
      <c r="AJ8" s="550"/>
      <c r="AK8" s="549"/>
      <c r="AL8" s="550"/>
      <c r="AM8" s="550"/>
      <c r="AN8" s="549"/>
      <c r="AO8" s="550"/>
      <c r="AP8" s="550"/>
      <c r="AQ8" s="549"/>
      <c r="AR8" s="550"/>
      <c r="AS8" s="550"/>
      <c r="AT8" s="549"/>
      <c r="AU8" s="550"/>
      <c r="AV8" s="550"/>
      <c r="AW8" s="549"/>
      <c r="AX8" s="550"/>
      <c r="AY8" s="550"/>
      <c r="AZ8" s="549"/>
      <c r="BA8" s="550"/>
      <c r="BB8" s="550"/>
      <c r="BC8" s="550"/>
    </row>
    <row r="9" spans="1:55">
      <c r="A9" s="531" t="str">
        <f t="shared" si="0"/>
        <v>CP</v>
      </c>
      <c r="B9" s="50" t="str">
        <f t="shared" si="1"/>
        <v>Div12</v>
      </c>
      <c r="C9" s="50" t="s">
        <v>256</v>
      </c>
      <c r="D9" s="532" t="str">
        <f>R.3CustomRole2</f>
        <v>Custom Role 2</v>
      </c>
      <c r="E9" s="50" t="s">
        <v>53</v>
      </c>
      <c r="F9" s="533" t="str">
        <f>R.3CustomName2</f>
        <v>Cr2 name</v>
      </c>
      <c r="G9" s="543">
        <f>R.3CustomHrs2</f>
        <v>0</v>
      </c>
      <c r="H9" s="544">
        <f>Table3[[#This Row],[Hrs Rank]]</f>
        <v>0</v>
      </c>
      <c r="I9" s="534">
        <f t="shared" si="2"/>
        <v>0</v>
      </c>
      <c r="J9" s="534">
        <f t="shared" si="3"/>
        <v>0</v>
      </c>
      <c r="K9" s="546"/>
      <c r="L9" s="546"/>
      <c r="M9" s="547" t="s">
        <v>228</v>
      </c>
      <c r="N9" s="547" t="s">
        <v>228</v>
      </c>
      <c r="O9" s="548"/>
      <c r="P9" s="549"/>
      <c r="Q9" s="550"/>
      <c r="R9" s="550"/>
      <c r="S9" s="549"/>
      <c r="T9" s="550"/>
      <c r="U9" s="550"/>
      <c r="V9" s="549"/>
      <c r="W9" s="550"/>
      <c r="X9" s="550"/>
      <c r="Y9" s="549"/>
      <c r="Z9" s="550"/>
      <c r="AA9" s="550"/>
      <c r="AB9" s="549"/>
      <c r="AC9" s="550"/>
      <c r="AD9" s="550"/>
      <c r="AE9" s="549"/>
      <c r="AF9" s="550"/>
      <c r="AG9" s="550"/>
      <c r="AH9" s="549"/>
      <c r="AI9" s="550"/>
      <c r="AJ9" s="550"/>
      <c r="AK9" s="549"/>
      <c r="AL9" s="550"/>
      <c r="AM9" s="550"/>
      <c r="AN9" s="549"/>
      <c r="AO9" s="550"/>
      <c r="AP9" s="550"/>
      <c r="AQ9" s="549"/>
      <c r="AR9" s="550"/>
      <c r="AS9" s="550"/>
      <c r="AT9" s="549"/>
      <c r="AU9" s="550"/>
      <c r="AV9" s="550"/>
      <c r="AW9" s="549"/>
      <c r="AX9" s="550"/>
      <c r="AY9" s="550"/>
      <c r="AZ9" s="549"/>
      <c r="BA9" s="550"/>
      <c r="BB9" s="550"/>
      <c r="BC9" s="550"/>
    </row>
    <row r="10" spans="1:55">
      <c r="A10" s="531" t="str">
        <f t="shared" si="0"/>
        <v>CP</v>
      </c>
      <c r="B10" s="50" t="str">
        <f t="shared" si="1"/>
        <v>Div12</v>
      </c>
      <c r="C10" s="50" t="s">
        <v>205</v>
      </c>
      <c r="D10" s="532" t="s">
        <v>209</v>
      </c>
      <c r="E10" s="50" t="s">
        <v>53</v>
      </c>
      <c r="F10" s="533" t="str">
        <f>R.4AGName</f>
        <v>Larry Knudsen</v>
      </c>
      <c r="G10" s="543">
        <f>R.4AGHrs</f>
        <v>1</v>
      </c>
      <c r="H10" s="544">
        <f>Table3[[#This Row],[Hrs Rank]]</f>
        <v>1</v>
      </c>
      <c r="I10" s="534">
        <f t="shared" si="2"/>
        <v>1</v>
      </c>
      <c r="J10" s="534">
        <f t="shared" si="3"/>
        <v>8</v>
      </c>
      <c r="K10" s="546"/>
      <c r="L10" s="546"/>
      <c r="M10" s="547" t="s">
        <v>228</v>
      </c>
      <c r="N10" s="547" t="s">
        <v>228</v>
      </c>
      <c r="O10" s="548"/>
      <c r="P10" s="549"/>
      <c r="Q10" s="550"/>
      <c r="R10" s="550"/>
      <c r="S10" s="549"/>
      <c r="T10" s="550"/>
      <c r="U10" s="550"/>
      <c r="V10" s="549"/>
      <c r="W10" s="550"/>
      <c r="X10" s="550"/>
      <c r="Y10" s="549"/>
      <c r="Z10" s="550"/>
      <c r="AA10" s="550"/>
      <c r="AB10" s="549"/>
      <c r="AC10" s="550"/>
      <c r="AD10" s="550"/>
      <c r="AE10" s="549"/>
      <c r="AF10" s="550"/>
      <c r="AG10" s="550"/>
      <c r="AH10" s="549"/>
      <c r="AI10" s="550"/>
      <c r="AJ10" s="550"/>
      <c r="AK10" s="549"/>
      <c r="AL10" s="550"/>
      <c r="AM10" s="550"/>
      <c r="AN10" s="549"/>
      <c r="AO10" s="550"/>
      <c r="AP10" s="550"/>
      <c r="AQ10" s="549"/>
      <c r="AR10" s="550"/>
      <c r="AS10" s="550"/>
      <c r="AT10" s="549"/>
      <c r="AU10" s="550"/>
      <c r="AV10" s="550"/>
      <c r="AW10" s="549"/>
      <c r="AX10" s="550"/>
      <c r="AY10" s="550"/>
      <c r="AZ10" s="549"/>
      <c r="BA10" s="550"/>
      <c r="BB10" s="550"/>
      <c r="BC10" s="550"/>
    </row>
    <row r="11" spans="1:55">
      <c r="A11" s="531" t="str">
        <f t="shared" si="0"/>
        <v>CP</v>
      </c>
      <c r="B11" s="50" t="str">
        <f t="shared" si="1"/>
        <v>Div12</v>
      </c>
      <c r="C11" s="50" t="s">
        <v>205</v>
      </c>
      <c r="D11" s="532" t="s">
        <v>122</v>
      </c>
      <c r="E11" s="50" t="s">
        <v>53</v>
      </c>
      <c r="F11" s="533" t="str">
        <f>R.4ARCName</f>
        <v>Maggie Vandehey</v>
      </c>
      <c r="G11" s="543">
        <f>R.4ARCHrs</f>
        <v>2</v>
      </c>
      <c r="H11" s="544">
        <f>Table3[[#This Row],[Hrs Rank]]</f>
        <v>2</v>
      </c>
      <c r="I11" s="534">
        <f t="shared" si="2"/>
        <v>8</v>
      </c>
      <c r="J11" s="534">
        <f t="shared" si="3"/>
        <v>40</v>
      </c>
      <c r="K11" s="546"/>
      <c r="L11" s="546"/>
      <c r="M11" s="547" t="s">
        <v>228</v>
      </c>
      <c r="N11" s="547" t="s">
        <v>228</v>
      </c>
      <c r="O11" s="548"/>
      <c r="P11" s="549"/>
      <c r="Q11" s="550"/>
      <c r="R11" s="550"/>
      <c r="S11" s="549"/>
      <c r="T11" s="550"/>
      <c r="U11" s="550"/>
      <c r="V11" s="549"/>
      <c r="W11" s="550"/>
      <c r="X11" s="550"/>
      <c r="Y11" s="549"/>
      <c r="Z11" s="550"/>
      <c r="AA11" s="550"/>
      <c r="AB11" s="549"/>
      <c r="AC11" s="550"/>
      <c r="AD11" s="550"/>
      <c r="AE11" s="549"/>
      <c r="AF11" s="550"/>
      <c r="AG11" s="550"/>
      <c r="AH11" s="549"/>
      <c r="AI11" s="550"/>
      <c r="AJ11" s="550"/>
      <c r="AK11" s="549"/>
      <c r="AL11" s="550"/>
      <c r="AM11" s="550"/>
      <c r="AN11" s="549"/>
      <c r="AO11" s="550"/>
      <c r="AP11" s="550"/>
      <c r="AQ11" s="549"/>
      <c r="AR11" s="550"/>
      <c r="AS11" s="550"/>
      <c r="AT11" s="549"/>
      <c r="AU11" s="550"/>
      <c r="AV11" s="550"/>
      <c r="AW11" s="549"/>
      <c r="AX11" s="550"/>
      <c r="AY11" s="550"/>
      <c r="AZ11" s="549"/>
      <c r="BA11" s="550"/>
      <c r="BB11" s="550"/>
      <c r="BC11" s="550"/>
    </row>
    <row r="12" spans="1:55">
      <c r="A12" s="531" t="str">
        <f t="shared" si="0"/>
        <v>CP</v>
      </c>
      <c r="B12" s="50" t="str">
        <f t="shared" si="1"/>
        <v>Div12</v>
      </c>
      <c r="C12" s="50" t="s">
        <v>205</v>
      </c>
      <c r="D12" s="532" t="s">
        <v>173</v>
      </c>
      <c r="E12" s="50" t="s">
        <v>53</v>
      </c>
      <c r="F12" s="533" t="str">
        <f>R.4SIPCoName</f>
        <v>Nicole Vick</v>
      </c>
      <c r="G12" s="543">
        <f>R.4ASIPCoHrs</f>
        <v>0</v>
      </c>
      <c r="H12" s="544">
        <f>Table3[[#This Row],[Hrs Rank]]</f>
        <v>0</v>
      </c>
      <c r="I12" s="534">
        <f t="shared" si="2"/>
        <v>0</v>
      </c>
      <c r="J12" s="534">
        <f t="shared" si="3"/>
        <v>0</v>
      </c>
      <c r="K12" s="546"/>
      <c r="L12" s="546"/>
      <c r="M12" s="547" t="s">
        <v>228</v>
      </c>
      <c r="N12" s="547" t="s">
        <v>228</v>
      </c>
      <c r="O12" s="548"/>
      <c r="P12" s="549"/>
      <c r="Q12" s="550"/>
      <c r="R12" s="550"/>
      <c r="S12" s="549"/>
      <c r="T12" s="550"/>
      <c r="U12" s="550"/>
      <c r="V12" s="549"/>
      <c r="W12" s="550"/>
      <c r="X12" s="550"/>
      <c r="Y12" s="549"/>
      <c r="Z12" s="550"/>
      <c r="AA12" s="550"/>
      <c r="AB12" s="549"/>
      <c r="AC12" s="550"/>
      <c r="AD12" s="550"/>
      <c r="AE12" s="549"/>
      <c r="AF12" s="550"/>
      <c r="AG12" s="550"/>
      <c r="AH12" s="549"/>
      <c r="AI12" s="550"/>
      <c r="AJ12" s="550"/>
      <c r="AK12" s="549"/>
      <c r="AL12" s="550"/>
      <c r="AM12" s="550"/>
      <c r="AN12" s="549"/>
      <c r="AO12" s="550"/>
      <c r="AP12" s="550"/>
      <c r="AQ12" s="549"/>
      <c r="AR12" s="550"/>
      <c r="AS12" s="550"/>
      <c r="AT12" s="549"/>
      <c r="AU12" s="550"/>
      <c r="AV12" s="550"/>
      <c r="AW12" s="549"/>
      <c r="AX12" s="550"/>
      <c r="AY12" s="550"/>
      <c r="AZ12" s="549"/>
      <c r="BA12" s="550"/>
      <c r="BB12" s="550"/>
      <c r="BC12" s="550"/>
    </row>
    <row r="13" spans="1:55">
      <c r="A13" s="531" t="str">
        <f t="shared" si="0"/>
        <v>CP</v>
      </c>
      <c r="B13" s="50" t="str">
        <f t="shared" si="1"/>
        <v>Div12</v>
      </c>
      <c r="C13" s="50" t="s">
        <v>205</v>
      </c>
      <c r="D13" s="532" t="str">
        <f>R.4CustomRole1</f>
        <v>Custom Role 1</v>
      </c>
      <c r="E13" s="50" t="s">
        <v>53</v>
      </c>
      <c r="F13" s="533" t="str">
        <f>R.4CustomRole2</f>
        <v>Custom Role 2</v>
      </c>
      <c r="G13" s="543">
        <f>R.4CustomHrs1</f>
        <v>0</v>
      </c>
      <c r="H13" s="544">
        <f>Table3[[#This Row],[Hrs Rank]]</f>
        <v>0</v>
      </c>
      <c r="I13" s="534">
        <f t="shared" si="2"/>
        <v>0</v>
      </c>
      <c r="J13" s="534">
        <f t="shared" si="3"/>
        <v>0</v>
      </c>
      <c r="K13" s="546"/>
      <c r="L13" s="546"/>
      <c r="M13" s="547" t="s">
        <v>228</v>
      </c>
      <c r="N13" s="547" t="s">
        <v>228</v>
      </c>
      <c r="O13" s="548"/>
      <c r="P13" s="549"/>
      <c r="Q13" s="550"/>
      <c r="R13" s="550"/>
      <c r="S13" s="549"/>
      <c r="T13" s="550"/>
      <c r="U13" s="550"/>
      <c r="V13" s="549"/>
      <c r="W13" s="550"/>
      <c r="X13" s="550"/>
      <c r="Y13" s="549"/>
      <c r="Z13" s="550"/>
      <c r="AA13" s="550"/>
      <c r="AB13" s="549"/>
      <c r="AC13" s="550"/>
      <c r="AD13" s="550"/>
      <c r="AE13" s="549"/>
      <c r="AF13" s="550"/>
      <c r="AG13" s="550"/>
      <c r="AH13" s="549"/>
      <c r="AI13" s="550"/>
      <c r="AJ13" s="550"/>
      <c r="AK13" s="549"/>
      <c r="AL13" s="550"/>
      <c r="AM13" s="550"/>
      <c r="AN13" s="549"/>
      <c r="AO13" s="550"/>
      <c r="AP13" s="550"/>
      <c r="AQ13" s="549"/>
      <c r="AR13" s="550"/>
      <c r="AS13" s="550"/>
      <c r="AT13" s="549"/>
      <c r="AU13" s="550"/>
      <c r="AV13" s="550"/>
      <c r="AW13" s="549"/>
      <c r="AX13" s="550"/>
      <c r="AY13" s="550"/>
      <c r="AZ13" s="549"/>
      <c r="BA13" s="550"/>
      <c r="BB13" s="550"/>
      <c r="BC13" s="550"/>
    </row>
    <row r="14" spans="1:55">
      <c r="A14" s="531" t="str">
        <f t="shared" si="0"/>
        <v>CP</v>
      </c>
      <c r="B14" s="50" t="str">
        <f t="shared" si="1"/>
        <v>Div12</v>
      </c>
      <c r="C14" s="50" t="s">
        <v>205</v>
      </c>
      <c r="D14" s="532" t="str">
        <f>R.4CustomRole2</f>
        <v>Custom Role 2</v>
      </c>
      <c r="E14" s="50" t="s">
        <v>53</v>
      </c>
      <c r="F14" s="533" t="str">
        <f>R.4CustomRole1</f>
        <v>Custom Role 1</v>
      </c>
      <c r="G14" s="543">
        <f>R.4CustomHrs2</f>
        <v>0</v>
      </c>
      <c r="H14" s="544">
        <f>Table3[[#This Row],[Hrs Rank]]</f>
        <v>0</v>
      </c>
      <c r="I14" s="534">
        <f t="shared" si="2"/>
        <v>0</v>
      </c>
      <c r="J14" s="534">
        <f t="shared" si="3"/>
        <v>0</v>
      </c>
      <c r="K14" s="546"/>
      <c r="L14" s="546"/>
      <c r="M14" s="547" t="s">
        <v>228</v>
      </c>
      <c r="N14" s="547" t="s">
        <v>228</v>
      </c>
      <c r="O14" s="548"/>
      <c r="P14" s="549"/>
      <c r="Q14" s="550"/>
      <c r="R14" s="550"/>
      <c r="S14" s="549"/>
      <c r="T14" s="550"/>
      <c r="U14" s="550"/>
      <c r="V14" s="549"/>
      <c r="W14" s="550"/>
      <c r="X14" s="550"/>
      <c r="Y14" s="549"/>
      <c r="Z14" s="550"/>
      <c r="AA14" s="550"/>
      <c r="AB14" s="549"/>
      <c r="AC14" s="550"/>
      <c r="AD14" s="550"/>
      <c r="AE14" s="549"/>
      <c r="AF14" s="550"/>
      <c r="AG14" s="550"/>
      <c r="AH14" s="549"/>
      <c r="AI14" s="550"/>
      <c r="AJ14" s="550"/>
      <c r="AK14" s="549"/>
      <c r="AL14" s="550"/>
      <c r="AM14" s="550"/>
      <c r="AN14" s="549"/>
      <c r="AO14" s="550"/>
      <c r="AP14" s="550"/>
      <c r="AQ14" s="549"/>
      <c r="AR14" s="550"/>
      <c r="AS14" s="550"/>
      <c r="AT14" s="549"/>
      <c r="AU14" s="550"/>
      <c r="AV14" s="550"/>
      <c r="AW14" s="549"/>
      <c r="AX14" s="550"/>
      <c r="AY14" s="550"/>
      <c r="AZ14" s="549"/>
      <c r="BA14" s="550"/>
      <c r="BB14" s="550"/>
      <c r="BC14" s="550"/>
    </row>
    <row r="15" spans="1:55">
      <c r="A15" s="531" t="str">
        <f t="shared" si="0"/>
        <v>CP</v>
      </c>
      <c r="B15" s="50" t="str">
        <f t="shared" si="1"/>
        <v>Div12</v>
      </c>
      <c r="C15" s="50" t="s">
        <v>257</v>
      </c>
      <c r="D15" s="532" t="s">
        <v>182</v>
      </c>
      <c r="E15" s="50" t="s">
        <v>53</v>
      </c>
      <c r="F15" s="533" t="str">
        <f>R.5EQCName1</f>
        <v>EQC - all members</v>
      </c>
      <c r="G15" s="543">
        <f>R.5EQCHrs1</f>
        <v>1</v>
      </c>
      <c r="H15" s="544">
        <f>Table3[[#This Row],[Hrs Rank]]</f>
        <v>1</v>
      </c>
      <c r="I15" s="534">
        <f t="shared" si="2"/>
        <v>1</v>
      </c>
      <c r="J15" s="534">
        <f t="shared" si="3"/>
        <v>8</v>
      </c>
      <c r="K15" s="546"/>
      <c r="L15" s="546"/>
      <c r="M15" s="547" t="s">
        <v>228</v>
      </c>
      <c r="N15" s="547" t="s">
        <v>228</v>
      </c>
      <c r="O15" s="548"/>
      <c r="P15" s="549"/>
      <c r="Q15" s="550"/>
      <c r="R15" s="550"/>
      <c r="S15" s="549"/>
      <c r="T15" s="550"/>
      <c r="U15" s="550"/>
      <c r="V15" s="549"/>
      <c r="W15" s="550"/>
      <c r="X15" s="550"/>
      <c r="Y15" s="549"/>
      <c r="Z15" s="550"/>
      <c r="AA15" s="550"/>
      <c r="AB15" s="549"/>
      <c r="AC15" s="550"/>
      <c r="AD15" s="550"/>
      <c r="AE15" s="549"/>
      <c r="AF15" s="550"/>
      <c r="AG15" s="550"/>
      <c r="AH15" s="549"/>
      <c r="AI15" s="550"/>
      <c r="AJ15" s="550"/>
      <c r="AK15" s="549"/>
      <c r="AL15" s="550"/>
      <c r="AM15" s="550"/>
      <c r="AN15" s="549"/>
      <c r="AO15" s="550"/>
      <c r="AP15" s="550"/>
      <c r="AQ15" s="549"/>
      <c r="AR15" s="550"/>
      <c r="AS15" s="550"/>
      <c r="AT15" s="549"/>
      <c r="AU15" s="550"/>
      <c r="AV15" s="550"/>
      <c r="AW15" s="549"/>
      <c r="AX15" s="550"/>
      <c r="AY15" s="550"/>
      <c r="AZ15" s="549"/>
      <c r="BA15" s="550"/>
      <c r="BB15" s="550"/>
      <c r="BC15" s="550"/>
    </row>
    <row r="16" spans="1:55">
      <c r="A16" s="531" t="str">
        <f t="shared" si="0"/>
        <v>CP</v>
      </c>
      <c r="B16" s="50" t="str">
        <f t="shared" si="1"/>
        <v>Div12</v>
      </c>
      <c r="C16" s="50" t="s">
        <v>257</v>
      </c>
      <c r="D16" s="532" t="s">
        <v>184</v>
      </c>
      <c r="E16" s="50" t="s">
        <v>53</v>
      </c>
      <c r="F16" s="533" t="str">
        <f>R.5EQCName2</f>
        <v>Bill Blosser</v>
      </c>
      <c r="G16" s="543">
        <f>R.5EQCHrs2</f>
        <v>0</v>
      </c>
      <c r="H16" s="544">
        <f>Table3[[#This Row],[Hrs Rank]]</f>
        <v>0</v>
      </c>
      <c r="I16" s="534">
        <f t="shared" si="2"/>
        <v>0</v>
      </c>
      <c r="J16" s="534">
        <f t="shared" si="3"/>
        <v>0</v>
      </c>
      <c r="K16" s="546"/>
      <c r="L16" s="546"/>
      <c r="M16" s="547" t="s">
        <v>228</v>
      </c>
      <c r="N16" s="547" t="s">
        <v>228</v>
      </c>
      <c r="O16" s="548"/>
      <c r="P16" s="549"/>
      <c r="Q16" s="550"/>
      <c r="R16" s="550"/>
      <c r="S16" s="549"/>
      <c r="T16" s="550"/>
      <c r="U16" s="550"/>
      <c r="V16" s="549"/>
      <c r="W16" s="550"/>
      <c r="X16" s="550"/>
      <c r="Y16" s="549"/>
      <c r="Z16" s="550"/>
      <c r="AA16" s="550"/>
      <c r="AB16" s="549"/>
      <c r="AC16" s="550"/>
      <c r="AD16" s="550"/>
      <c r="AE16" s="549"/>
      <c r="AF16" s="550"/>
      <c r="AG16" s="550"/>
      <c r="AH16" s="549"/>
      <c r="AI16" s="550"/>
      <c r="AJ16" s="550"/>
      <c r="AK16" s="549"/>
      <c r="AL16" s="550"/>
      <c r="AM16" s="550"/>
      <c r="AN16" s="549"/>
      <c r="AO16" s="550"/>
      <c r="AP16" s="550"/>
      <c r="AQ16" s="549"/>
      <c r="AR16" s="550"/>
      <c r="AS16" s="550"/>
      <c r="AT16" s="549"/>
      <c r="AU16" s="550"/>
      <c r="AV16" s="550"/>
      <c r="AW16" s="549"/>
      <c r="AX16" s="550"/>
      <c r="AY16" s="550"/>
      <c r="AZ16" s="549"/>
      <c r="BA16" s="550"/>
      <c r="BB16" s="550"/>
      <c r="BC16" s="550"/>
    </row>
    <row r="17" spans="1:55">
      <c r="A17" s="531" t="str">
        <f t="shared" si="0"/>
        <v>CP</v>
      </c>
      <c r="B17" s="50" t="str">
        <f t="shared" si="1"/>
        <v>Div12</v>
      </c>
      <c r="C17" s="50" t="s">
        <v>257</v>
      </c>
      <c r="D17" s="532" t="s">
        <v>185</v>
      </c>
      <c r="E17" s="50" t="s">
        <v>53</v>
      </c>
      <c r="F17" s="533" t="str">
        <f>R.5EQCName3</f>
        <v>Jane O'Keeffee</v>
      </c>
      <c r="G17" s="543">
        <f>R.5EQCHrs3</f>
        <v>0</v>
      </c>
      <c r="H17" s="544">
        <f>Table3[[#This Row],[Hrs Rank]]</f>
        <v>0</v>
      </c>
      <c r="I17" s="534">
        <f t="shared" si="2"/>
        <v>0</v>
      </c>
      <c r="J17" s="534">
        <f t="shared" si="3"/>
        <v>0</v>
      </c>
      <c r="K17" s="546"/>
      <c r="L17" s="546"/>
      <c r="M17" s="547" t="s">
        <v>228</v>
      </c>
      <c r="N17" s="547" t="s">
        <v>228</v>
      </c>
      <c r="O17" s="548"/>
      <c r="P17" s="549"/>
      <c r="Q17" s="550"/>
      <c r="R17" s="550"/>
      <c r="S17" s="549"/>
      <c r="T17" s="550"/>
      <c r="U17" s="550"/>
      <c r="V17" s="549"/>
      <c r="W17" s="550"/>
      <c r="X17" s="550"/>
      <c r="Y17" s="549"/>
      <c r="Z17" s="550"/>
      <c r="AA17" s="550"/>
      <c r="AB17" s="549"/>
      <c r="AC17" s="550"/>
      <c r="AD17" s="550"/>
      <c r="AE17" s="549"/>
      <c r="AF17" s="550"/>
      <c r="AG17" s="550"/>
      <c r="AH17" s="549"/>
      <c r="AI17" s="550"/>
      <c r="AJ17" s="550"/>
      <c r="AK17" s="549"/>
      <c r="AL17" s="550"/>
      <c r="AM17" s="550"/>
      <c r="AN17" s="549"/>
      <c r="AO17" s="550"/>
      <c r="AP17" s="550"/>
      <c r="AQ17" s="549"/>
      <c r="AR17" s="550"/>
      <c r="AS17" s="550"/>
      <c r="AT17" s="549"/>
      <c r="AU17" s="550"/>
      <c r="AV17" s="550"/>
      <c r="AW17" s="549"/>
      <c r="AX17" s="550"/>
      <c r="AY17" s="550"/>
      <c r="AZ17" s="549"/>
      <c r="BA17" s="550"/>
      <c r="BB17" s="550"/>
      <c r="BC17" s="550"/>
    </row>
    <row r="18" spans="1:55">
      <c r="A18" s="531" t="str">
        <f t="shared" si="0"/>
        <v>CP</v>
      </c>
      <c r="B18" s="50" t="str">
        <f t="shared" si="1"/>
        <v>Div12</v>
      </c>
      <c r="C18" s="50" t="s">
        <v>257</v>
      </c>
      <c r="D18" s="532" t="s">
        <v>191</v>
      </c>
      <c r="E18" s="50" t="s">
        <v>53</v>
      </c>
      <c r="F18" s="533" t="str">
        <f>R.5EQCName4</f>
        <v>Ed Armstrong</v>
      </c>
      <c r="G18" s="543">
        <f>R.5EQCHrs4</f>
        <v>0</v>
      </c>
      <c r="H18" s="544">
        <f>Table3[[#This Row],[Hrs Rank]]</f>
        <v>0</v>
      </c>
      <c r="I18" s="534">
        <f t="shared" si="2"/>
        <v>0</v>
      </c>
      <c r="J18" s="534">
        <f t="shared" si="3"/>
        <v>0</v>
      </c>
      <c r="K18" s="546"/>
      <c r="L18" s="546"/>
      <c r="M18" s="547" t="s">
        <v>228</v>
      </c>
      <c r="N18" s="547" t="s">
        <v>228</v>
      </c>
      <c r="O18" s="548"/>
      <c r="P18" s="549"/>
      <c r="Q18" s="550"/>
      <c r="R18" s="550"/>
      <c r="S18" s="549"/>
      <c r="T18" s="550"/>
      <c r="U18" s="550"/>
      <c r="V18" s="549"/>
      <c r="W18" s="550"/>
      <c r="X18" s="550"/>
      <c r="Y18" s="549"/>
      <c r="Z18" s="550"/>
      <c r="AA18" s="550"/>
      <c r="AB18" s="549"/>
      <c r="AC18" s="550"/>
      <c r="AD18" s="550"/>
      <c r="AE18" s="549"/>
      <c r="AF18" s="550"/>
      <c r="AG18" s="550"/>
      <c r="AH18" s="549"/>
      <c r="AI18" s="550"/>
      <c r="AJ18" s="550"/>
      <c r="AK18" s="549"/>
      <c r="AL18" s="550"/>
      <c r="AM18" s="550"/>
      <c r="AN18" s="549"/>
      <c r="AO18" s="550"/>
      <c r="AP18" s="550"/>
      <c r="AQ18" s="549"/>
      <c r="AR18" s="550"/>
      <c r="AS18" s="550"/>
      <c r="AT18" s="549"/>
      <c r="AU18" s="550"/>
      <c r="AV18" s="550"/>
      <c r="AW18" s="549"/>
      <c r="AX18" s="550"/>
      <c r="AY18" s="550"/>
      <c r="AZ18" s="549"/>
      <c r="BA18" s="550"/>
      <c r="BB18" s="550"/>
      <c r="BC18" s="550"/>
    </row>
    <row r="19" spans="1:55">
      <c r="A19" s="531" t="str">
        <f t="shared" si="0"/>
        <v>CP</v>
      </c>
      <c r="B19" s="50" t="str">
        <f t="shared" si="1"/>
        <v>Div12</v>
      </c>
      <c r="C19" s="50" t="s">
        <v>257</v>
      </c>
      <c r="D19" s="532" t="s">
        <v>191</v>
      </c>
      <c r="E19" s="50" t="s">
        <v>53</v>
      </c>
      <c r="F19" s="533" t="str">
        <f>R.5EQCName5</f>
        <v>Morgan Rider</v>
      </c>
      <c r="G19" s="543">
        <f>R.5EQCHrs5</f>
        <v>0</v>
      </c>
      <c r="H19" s="544">
        <f>Table3[[#This Row],[Hrs Rank]]</f>
        <v>0</v>
      </c>
      <c r="I19" s="534">
        <f t="shared" si="2"/>
        <v>0</v>
      </c>
      <c r="J19" s="534">
        <f t="shared" si="3"/>
        <v>0</v>
      </c>
      <c r="K19" s="546"/>
      <c r="L19" s="546"/>
      <c r="M19" s="547" t="s">
        <v>228</v>
      </c>
      <c r="N19" s="547" t="s">
        <v>228</v>
      </c>
      <c r="O19" s="548"/>
      <c r="P19" s="549"/>
      <c r="Q19" s="550"/>
      <c r="R19" s="550"/>
      <c r="S19" s="549"/>
      <c r="T19" s="550"/>
      <c r="U19" s="550"/>
      <c r="V19" s="549"/>
      <c r="W19" s="550"/>
      <c r="X19" s="550"/>
      <c r="Y19" s="549"/>
      <c r="Z19" s="550"/>
      <c r="AA19" s="550"/>
      <c r="AB19" s="549"/>
      <c r="AC19" s="550"/>
      <c r="AD19" s="550"/>
      <c r="AE19" s="549"/>
      <c r="AF19" s="550"/>
      <c r="AG19" s="550"/>
      <c r="AH19" s="549"/>
      <c r="AI19" s="550"/>
      <c r="AJ19" s="550"/>
      <c r="AK19" s="549"/>
      <c r="AL19" s="550"/>
      <c r="AM19" s="550"/>
      <c r="AN19" s="549"/>
      <c r="AO19" s="550"/>
      <c r="AP19" s="550"/>
      <c r="AQ19" s="549"/>
      <c r="AR19" s="550"/>
      <c r="AS19" s="550"/>
      <c r="AT19" s="549"/>
      <c r="AU19" s="550"/>
      <c r="AV19" s="550"/>
      <c r="AW19" s="549"/>
      <c r="AX19" s="550"/>
      <c r="AY19" s="550"/>
      <c r="AZ19" s="549"/>
      <c r="BA19" s="550"/>
      <c r="BB19" s="550"/>
      <c r="BC19" s="550"/>
    </row>
    <row r="20" spans="1:55">
      <c r="A20" s="531" t="str">
        <f t="shared" si="0"/>
        <v>CP</v>
      </c>
      <c r="B20" s="50" t="str">
        <f t="shared" si="1"/>
        <v>Div12</v>
      </c>
      <c r="C20" s="50" t="s">
        <v>257</v>
      </c>
      <c r="D20" s="532" t="s">
        <v>191</v>
      </c>
      <c r="E20" s="50" t="s">
        <v>53</v>
      </c>
      <c r="F20" s="533" t="str">
        <f>R.5EQCName6</f>
        <v>Pending appointment</v>
      </c>
      <c r="G20" s="543">
        <f>R.5EQCHrs6</f>
        <v>0</v>
      </c>
      <c r="H20" s="544">
        <f>Table3[[#This Row],[Hrs Rank]]</f>
        <v>0</v>
      </c>
      <c r="I20" s="534">
        <f t="shared" si="2"/>
        <v>0</v>
      </c>
      <c r="J20" s="534">
        <f t="shared" si="3"/>
        <v>0</v>
      </c>
      <c r="K20" s="546"/>
      <c r="L20" s="546"/>
      <c r="M20" s="547" t="s">
        <v>228</v>
      </c>
      <c r="N20" s="547" t="s">
        <v>228</v>
      </c>
      <c r="O20" s="548"/>
      <c r="P20" s="549"/>
      <c r="Q20" s="550"/>
      <c r="R20" s="550"/>
      <c r="S20" s="549"/>
      <c r="T20" s="550"/>
      <c r="U20" s="550"/>
      <c r="V20" s="549"/>
      <c r="W20" s="550"/>
      <c r="X20" s="550"/>
      <c r="Y20" s="549"/>
      <c r="Z20" s="550"/>
      <c r="AA20" s="550"/>
      <c r="AB20" s="549"/>
      <c r="AC20" s="550"/>
      <c r="AD20" s="550"/>
      <c r="AE20" s="549"/>
      <c r="AF20" s="550"/>
      <c r="AG20" s="550"/>
      <c r="AH20" s="549"/>
      <c r="AI20" s="550"/>
      <c r="AJ20" s="550"/>
      <c r="AK20" s="549"/>
      <c r="AL20" s="550"/>
      <c r="AM20" s="550"/>
      <c r="AN20" s="549"/>
      <c r="AO20" s="550"/>
      <c r="AP20" s="550"/>
      <c r="AQ20" s="549"/>
      <c r="AR20" s="550"/>
      <c r="AS20" s="550"/>
      <c r="AT20" s="549"/>
      <c r="AU20" s="550"/>
      <c r="AV20" s="550"/>
      <c r="AW20" s="549"/>
      <c r="AX20" s="550"/>
      <c r="AY20" s="550"/>
      <c r="AZ20" s="549"/>
      <c r="BA20" s="550"/>
      <c r="BB20" s="550"/>
      <c r="BC20" s="550"/>
    </row>
    <row r="21" spans="1:55">
      <c r="A21" s="531" t="str">
        <f t="shared" si="0"/>
        <v>CP</v>
      </c>
      <c r="B21" s="50" t="str">
        <f t="shared" si="1"/>
        <v>Div12</v>
      </c>
      <c r="C21" s="50" t="s">
        <v>257</v>
      </c>
      <c r="D21" s="535" t="s">
        <v>270</v>
      </c>
      <c r="E21" s="50" t="s">
        <v>53</v>
      </c>
      <c r="F21" s="535" t="str">
        <f>R.5InterestedStaffNameA</f>
        <v xml:space="preserve"> </v>
      </c>
      <c r="G21" s="543">
        <f>R.5InterestedStaffHrsA</f>
        <v>0</v>
      </c>
      <c r="H21" s="544">
        <f>Table3[[#This Row],[Hrs Rank]]</f>
        <v>0</v>
      </c>
      <c r="I21" s="534">
        <f t="shared" si="2"/>
        <v>0</v>
      </c>
      <c r="J21" s="534">
        <f t="shared" si="3"/>
        <v>0</v>
      </c>
      <c r="K21" s="546"/>
      <c r="L21" s="546"/>
      <c r="M21" s="547" t="s">
        <v>228</v>
      </c>
      <c r="N21" s="547" t="s">
        <v>228</v>
      </c>
      <c r="O21" s="548"/>
      <c r="P21" s="549"/>
      <c r="Q21" s="550"/>
      <c r="R21" s="550"/>
      <c r="S21" s="549"/>
      <c r="T21" s="550"/>
      <c r="U21" s="550"/>
      <c r="V21" s="549"/>
      <c r="W21" s="550"/>
      <c r="X21" s="550"/>
      <c r="Y21" s="549"/>
      <c r="Z21" s="550"/>
      <c r="AA21" s="550"/>
      <c r="AB21" s="549"/>
      <c r="AC21" s="550"/>
      <c r="AD21" s="550"/>
      <c r="AE21" s="549"/>
      <c r="AF21" s="550"/>
      <c r="AG21" s="550"/>
      <c r="AH21" s="549"/>
      <c r="AI21" s="550"/>
      <c r="AJ21" s="550"/>
      <c r="AK21" s="549"/>
      <c r="AL21" s="550"/>
      <c r="AM21" s="550"/>
      <c r="AN21" s="549"/>
      <c r="AO21" s="550"/>
      <c r="AP21" s="550"/>
      <c r="AQ21" s="549"/>
      <c r="AR21" s="550"/>
      <c r="AS21" s="550"/>
      <c r="AT21" s="549"/>
      <c r="AU21" s="550"/>
      <c r="AV21" s="550"/>
      <c r="AW21" s="549"/>
      <c r="AX21" s="550"/>
      <c r="AY21" s="550"/>
      <c r="AZ21" s="549"/>
      <c r="BA21" s="550"/>
      <c r="BB21" s="550"/>
      <c r="BC21" s="550"/>
    </row>
    <row r="22" spans="1:55">
      <c r="A22" s="531" t="str">
        <f t="shared" si="0"/>
        <v>CP</v>
      </c>
      <c r="B22" s="50" t="str">
        <f t="shared" si="1"/>
        <v>Div12</v>
      </c>
      <c r="C22" s="50" t="s">
        <v>257</v>
      </c>
      <c r="D22" s="535" t="s">
        <v>270</v>
      </c>
      <c r="E22" s="50" t="s">
        <v>53</v>
      </c>
      <c r="F22" s="535">
        <f>R.5InterestedStaffNameB</f>
        <v>0</v>
      </c>
      <c r="G22" s="543">
        <f>R.5InterestedStaffHrsB</f>
        <v>0</v>
      </c>
      <c r="H22" s="544">
        <f>Table3[[#This Row],[Hrs Rank]]</f>
        <v>0</v>
      </c>
      <c r="I22" s="534">
        <f t="shared" si="2"/>
        <v>0</v>
      </c>
      <c r="J22" s="534">
        <f t="shared" si="3"/>
        <v>0</v>
      </c>
      <c r="K22" s="546"/>
      <c r="L22" s="546"/>
      <c r="M22" s="547" t="s">
        <v>228</v>
      </c>
      <c r="N22" s="547" t="s">
        <v>228</v>
      </c>
      <c r="O22" s="548"/>
      <c r="P22" s="549"/>
      <c r="Q22" s="550"/>
      <c r="R22" s="550"/>
      <c r="S22" s="549"/>
      <c r="T22" s="550"/>
      <c r="U22" s="550"/>
      <c r="V22" s="549"/>
      <c r="W22" s="550"/>
      <c r="X22" s="550"/>
      <c r="Y22" s="549"/>
      <c r="Z22" s="550"/>
      <c r="AA22" s="550"/>
      <c r="AB22" s="549"/>
      <c r="AC22" s="550"/>
      <c r="AD22" s="550"/>
      <c r="AE22" s="549"/>
      <c r="AF22" s="550"/>
      <c r="AG22" s="550"/>
      <c r="AH22" s="549"/>
      <c r="AI22" s="550"/>
      <c r="AJ22" s="550"/>
      <c r="AK22" s="549"/>
      <c r="AL22" s="550"/>
      <c r="AM22" s="550"/>
      <c r="AN22" s="549"/>
      <c r="AO22" s="550"/>
      <c r="AP22" s="550"/>
      <c r="AQ22" s="549"/>
      <c r="AR22" s="550"/>
      <c r="AS22" s="550"/>
      <c r="AT22" s="549"/>
      <c r="AU22" s="550"/>
      <c r="AV22" s="550"/>
      <c r="AW22" s="549"/>
      <c r="AX22" s="550"/>
      <c r="AY22" s="550"/>
      <c r="AZ22" s="549"/>
      <c r="BA22" s="550"/>
      <c r="BB22" s="550"/>
      <c r="BC22" s="550"/>
    </row>
    <row r="23" spans="1:55">
      <c r="A23" s="531" t="str">
        <f t="shared" si="0"/>
        <v>CP</v>
      </c>
      <c r="B23" s="50" t="str">
        <f t="shared" si="1"/>
        <v>Div12</v>
      </c>
      <c r="C23" s="50" t="s">
        <v>257</v>
      </c>
      <c r="D23" s="535" t="s">
        <v>270</v>
      </c>
      <c r="E23" s="50" t="s">
        <v>53</v>
      </c>
      <c r="F23" s="535" t="str">
        <f>R.5InterestedStaffNameC</f>
        <v xml:space="preserve"> </v>
      </c>
      <c r="G23" s="543">
        <f>R.5InterestedStaffHrsC</f>
        <v>0</v>
      </c>
      <c r="H23" s="544">
        <f>Table3[[#This Row],[Hrs Rank]]</f>
        <v>0</v>
      </c>
      <c r="I23" s="534">
        <f t="shared" si="2"/>
        <v>0</v>
      </c>
      <c r="J23" s="534">
        <f t="shared" si="3"/>
        <v>0</v>
      </c>
      <c r="K23" s="546"/>
      <c r="L23" s="546"/>
      <c r="M23" s="547" t="s">
        <v>228</v>
      </c>
      <c r="N23" s="547" t="s">
        <v>228</v>
      </c>
      <c r="O23" s="548"/>
      <c r="P23" s="549"/>
      <c r="Q23" s="550"/>
      <c r="R23" s="550"/>
      <c r="S23" s="549"/>
      <c r="T23" s="550"/>
      <c r="U23" s="550"/>
      <c r="V23" s="549"/>
      <c r="W23" s="550"/>
      <c r="X23" s="550"/>
      <c r="Y23" s="549"/>
      <c r="Z23" s="550"/>
      <c r="AA23" s="550"/>
      <c r="AB23" s="549"/>
      <c r="AC23" s="550"/>
      <c r="AD23" s="550"/>
      <c r="AE23" s="549"/>
      <c r="AF23" s="550"/>
      <c r="AG23" s="550"/>
      <c r="AH23" s="549"/>
      <c r="AI23" s="550"/>
      <c r="AJ23" s="550"/>
      <c r="AK23" s="549"/>
      <c r="AL23" s="550"/>
      <c r="AM23" s="550"/>
      <c r="AN23" s="549"/>
      <c r="AO23" s="550"/>
      <c r="AP23" s="550"/>
      <c r="AQ23" s="549"/>
      <c r="AR23" s="550"/>
      <c r="AS23" s="550"/>
      <c r="AT23" s="549"/>
      <c r="AU23" s="550"/>
      <c r="AV23" s="550"/>
      <c r="AW23" s="549"/>
      <c r="AX23" s="550"/>
      <c r="AY23" s="550"/>
      <c r="AZ23" s="549"/>
      <c r="BA23" s="550"/>
      <c r="BB23" s="550"/>
      <c r="BC23" s="550"/>
    </row>
    <row r="24" spans="1:55">
      <c r="A24" s="531" t="str">
        <f t="shared" si="0"/>
        <v>CP</v>
      </c>
      <c r="B24" s="50" t="str">
        <f t="shared" si="1"/>
        <v>Div12</v>
      </c>
      <c r="C24" s="50" t="s">
        <v>257</v>
      </c>
      <c r="D24" s="535" t="s">
        <v>270</v>
      </c>
      <c r="E24" s="50" t="s">
        <v>53</v>
      </c>
      <c r="F24" s="535" t="str">
        <f>R.5InterestedStaffNameD</f>
        <v xml:space="preserve"> </v>
      </c>
      <c r="G24" s="543">
        <f>R.5InterestedStaffHrsD</f>
        <v>0</v>
      </c>
      <c r="H24" s="544">
        <f>Table3[[#This Row],[Hrs Rank]]</f>
        <v>0</v>
      </c>
      <c r="I24" s="534">
        <f t="shared" si="2"/>
        <v>0</v>
      </c>
      <c r="J24" s="534">
        <f t="shared" si="3"/>
        <v>0</v>
      </c>
      <c r="K24" s="546"/>
      <c r="L24" s="546"/>
      <c r="M24" s="547" t="s">
        <v>228</v>
      </c>
      <c r="N24" s="547" t="s">
        <v>228</v>
      </c>
      <c r="O24" s="548"/>
      <c r="P24" s="549"/>
      <c r="Q24" s="550"/>
      <c r="R24" s="550"/>
      <c r="S24" s="549"/>
      <c r="T24" s="550"/>
      <c r="U24" s="550"/>
      <c r="V24" s="549"/>
      <c r="W24" s="550"/>
      <c r="X24" s="550"/>
      <c r="Y24" s="549"/>
      <c r="Z24" s="550"/>
      <c r="AA24" s="550"/>
      <c r="AB24" s="549"/>
      <c r="AC24" s="550"/>
      <c r="AD24" s="550"/>
      <c r="AE24" s="549"/>
      <c r="AF24" s="550"/>
      <c r="AG24" s="550"/>
      <c r="AH24" s="549"/>
      <c r="AI24" s="550"/>
      <c r="AJ24" s="550"/>
      <c r="AK24" s="549"/>
      <c r="AL24" s="550"/>
      <c r="AM24" s="550"/>
      <c r="AN24" s="549"/>
      <c r="AO24" s="550"/>
      <c r="AP24" s="550"/>
      <c r="AQ24" s="549"/>
      <c r="AR24" s="550"/>
      <c r="AS24" s="550"/>
      <c r="AT24" s="549"/>
      <c r="AU24" s="550"/>
      <c r="AV24" s="550"/>
      <c r="AW24" s="549"/>
      <c r="AX24" s="550"/>
      <c r="AY24" s="550"/>
      <c r="AZ24" s="549"/>
      <c r="BA24" s="550"/>
      <c r="BB24" s="550"/>
      <c r="BC24" s="550"/>
    </row>
    <row r="25" spans="1:55">
      <c r="A25" s="531" t="str">
        <f t="shared" si="0"/>
        <v>CP</v>
      </c>
      <c r="B25" s="50" t="str">
        <f t="shared" si="1"/>
        <v>Div12</v>
      </c>
      <c r="C25" s="50" t="s">
        <v>258</v>
      </c>
      <c r="D25" s="532" t="s">
        <v>125</v>
      </c>
      <c r="E25" s="50" t="s">
        <v>53</v>
      </c>
      <c r="F25" s="533">
        <f>R.6LQDevName1</f>
        <v>0</v>
      </c>
      <c r="G25" s="543">
        <f>R.6LQDevHrs1</f>
        <v>0</v>
      </c>
      <c r="H25" s="544">
        <f>Table3[[#This Row],[Hrs Rank]]</f>
        <v>0</v>
      </c>
      <c r="I25" s="534">
        <f t="shared" si="2"/>
        <v>0</v>
      </c>
      <c r="J25" s="534">
        <f t="shared" si="3"/>
        <v>0</v>
      </c>
      <c r="K25" s="546"/>
      <c r="L25" s="546"/>
      <c r="M25" s="547" t="s">
        <v>228</v>
      </c>
      <c r="N25" s="547" t="s">
        <v>228</v>
      </c>
      <c r="O25" s="548"/>
      <c r="P25" s="549"/>
      <c r="Q25" s="550"/>
      <c r="R25" s="550"/>
      <c r="S25" s="549"/>
      <c r="T25" s="550"/>
      <c r="U25" s="550"/>
      <c r="V25" s="549"/>
      <c r="W25" s="550"/>
      <c r="X25" s="550"/>
      <c r="Y25" s="549"/>
      <c r="Z25" s="550"/>
      <c r="AA25" s="550"/>
      <c r="AB25" s="549"/>
      <c r="AC25" s="550"/>
      <c r="AD25" s="550"/>
      <c r="AE25" s="549"/>
      <c r="AF25" s="550"/>
      <c r="AG25" s="550"/>
      <c r="AH25" s="549"/>
      <c r="AI25" s="550"/>
      <c r="AJ25" s="550"/>
      <c r="AK25" s="549"/>
      <c r="AL25" s="550"/>
      <c r="AM25" s="550"/>
      <c r="AN25" s="549"/>
      <c r="AO25" s="550"/>
      <c r="AP25" s="550"/>
      <c r="AQ25" s="549"/>
      <c r="AR25" s="550"/>
      <c r="AS25" s="550"/>
      <c r="AT25" s="549"/>
      <c r="AU25" s="550"/>
      <c r="AV25" s="550"/>
      <c r="AW25" s="549"/>
      <c r="AX25" s="550"/>
      <c r="AY25" s="550"/>
      <c r="AZ25" s="549"/>
      <c r="BA25" s="550"/>
      <c r="BB25" s="550"/>
      <c r="BC25" s="550"/>
    </row>
    <row r="26" spans="1:55">
      <c r="A26" s="531" t="str">
        <f t="shared" si="0"/>
        <v>CP</v>
      </c>
      <c r="B26" s="50" t="str">
        <f t="shared" si="1"/>
        <v>Div12</v>
      </c>
      <c r="C26" s="50" t="s">
        <v>258</v>
      </c>
      <c r="D26" s="532" t="s">
        <v>125</v>
      </c>
      <c r="E26" s="50" t="s">
        <v>53</v>
      </c>
      <c r="F26" s="533" t="str">
        <f>R.6LQDevName2</f>
        <v xml:space="preserve"> </v>
      </c>
      <c r="G26" s="543">
        <f>R.6LQDevHrs2</f>
        <v>0</v>
      </c>
      <c r="H26" s="544">
        <f>Table3[[#This Row],[Hrs Rank]]</f>
        <v>0</v>
      </c>
      <c r="I26" s="534">
        <f t="shared" si="2"/>
        <v>0</v>
      </c>
      <c r="J26" s="534">
        <f t="shared" si="3"/>
        <v>0</v>
      </c>
      <c r="K26" s="546"/>
      <c r="L26" s="546"/>
      <c r="M26" s="547" t="s">
        <v>228</v>
      </c>
      <c r="N26" s="547" t="s">
        <v>228</v>
      </c>
      <c r="O26" s="548"/>
      <c r="P26" s="549"/>
      <c r="Q26" s="550"/>
      <c r="R26" s="550"/>
      <c r="S26" s="549"/>
      <c r="T26" s="550"/>
      <c r="U26" s="550"/>
      <c r="V26" s="549"/>
      <c r="W26" s="550"/>
      <c r="X26" s="550"/>
      <c r="Y26" s="549"/>
      <c r="Z26" s="550"/>
      <c r="AA26" s="550"/>
      <c r="AB26" s="549"/>
      <c r="AC26" s="550"/>
      <c r="AD26" s="550"/>
      <c r="AE26" s="549"/>
      <c r="AF26" s="550"/>
      <c r="AG26" s="550"/>
      <c r="AH26" s="549"/>
      <c r="AI26" s="550"/>
      <c r="AJ26" s="550"/>
      <c r="AK26" s="549"/>
      <c r="AL26" s="550"/>
      <c r="AM26" s="550"/>
      <c r="AN26" s="549"/>
      <c r="AO26" s="550"/>
      <c r="AP26" s="550"/>
      <c r="AQ26" s="549"/>
      <c r="AR26" s="550"/>
      <c r="AS26" s="550"/>
      <c r="AT26" s="549"/>
      <c r="AU26" s="550"/>
      <c r="AV26" s="550"/>
      <c r="AW26" s="549"/>
      <c r="AX26" s="550"/>
      <c r="AY26" s="550"/>
      <c r="AZ26" s="549"/>
      <c r="BA26" s="550"/>
      <c r="BB26" s="550"/>
      <c r="BC26" s="550"/>
    </row>
    <row r="27" spans="1:55">
      <c r="A27" s="531" t="str">
        <f t="shared" si="0"/>
        <v>CP</v>
      </c>
      <c r="B27" s="50" t="str">
        <f t="shared" si="1"/>
        <v>Div12</v>
      </c>
      <c r="C27" s="50" t="s">
        <v>258</v>
      </c>
      <c r="D27" s="532" t="s">
        <v>125</v>
      </c>
      <c r="E27" s="50" t="s">
        <v>53</v>
      </c>
      <c r="F27" s="533" t="str">
        <f>R.6LQDevName3</f>
        <v xml:space="preserve"> </v>
      </c>
      <c r="G27" s="543">
        <f>R.6LQDevHrs3</f>
        <v>0</v>
      </c>
      <c r="H27" s="544">
        <f>Table3[[#This Row],[Hrs Rank]]</f>
        <v>0</v>
      </c>
      <c r="I27" s="534">
        <f t="shared" si="2"/>
        <v>0</v>
      </c>
      <c r="J27" s="534">
        <f t="shared" si="3"/>
        <v>0</v>
      </c>
      <c r="K27" s="546"/>
      <c r="L27" s="546"/>
      <c r="M27" s="547" t="s">
        <v>228</v>
      </c>
      <c r="N27" s="547" t="s">
        <v>228</v>
      </c>
      <c r="O27" s="548"/>
      <c r="P27" s="549"/>
      <c r="Q27" s="550"/>
      <c r="R27" s="550"/>
      <c r="S27" s="549"/>
      <c r="T27" s="550"/>
      <c r="U27" s="550"/>
      <c r="V27" s="549"/>
      <c r="W27" s="550"/>
      <c r="X27" s="550"/>
      <c r="Y27" s="549"/>
      <c r="Z27" s="550"/>
      <c r="AA27" s="550"/>
      <c r="AB27" s="549"/>
      <c r="AC27" s="550"/>
      <c r="AD27" s="550"/>
      <c r="AE27" s="549"/>
      <c r="AF27" s="550"/>
      <c r="AG27" s="550"/>
      <c r="AH27" s="549"/>
      <c r="AI27" s="550"/>
      <c r="AJ27" s="550"/>
      <c r="AK27" s="549"/>
      <c r="AL27" s="550"/>
      <c r="AM27" s="550"/>
      <c r="AN27" s="549"/>
      <c r="AO27" s="550"/>
      <c r="AP27" s="550"/>
      <c r="AQ27" s="549"/>
      <c r="AR27" s="550"/>
      <c r="AS27" s="550"/>
      <c r="AT27" s="549"/>
      <c r="AU27" s="550"/>
      <c r="AV27" s="550"/>
      <c r="AW27" s="549"/>
      <c r="AX27" s="550"/>
      <c r="AY27" s="550"/>
      <c r="AZ27" s="549"/>
      <c r="BA27" s="550"/>
      <c r="BB27" s="550"/>
      <c r="BC27" s="550"/>
    </row>
    <row r="28" spans="1:55">
      <c r="A28" s="531" t="str">
        <f t="shared" si="0"/>
        <v>CP</v>
      </c>
      <c r="B28" s="50" t="str">
        <f t="shared" si="1"/>
        <v>Div12</v>
      </c>
      <c r="C28" s="50" t="s">
        <v>258</v>
      </c>
      <c r="D28" s="532" t="s">
        <v>125</v>
      </c>
      <c r="E28" s="50" t="s">
        <v>53</v>
      </c>
      <c r="F28" s="533" t="str">
        <f>R.6LQDevName4</f>
        <v xml:space="preserve"> </v>
      </c>
      <c r="G28" s="543">
        <f>R.6LQDevHrs4</f>
        <v>0</v>
      </c>
      <c r="H28" s="544">
        <f>Table3[[#This Row],[Hrs Rank]]</f>
        <v>0</v>
      </c>
      <c r="I28" s="534">
        <f t="shared" si="2"/>
        <v>0</v>
      </c>
      <c r="J28" s="534">
        <f t="shared" si="3"/>
        <v>0</v>
      </c>
      <c r="K28" s="546"/>
      <c r="L28" s="546"/>
      <c r="M28" s="547" t="s">
        <v>228</v>
      </c>
      <c r="N28" s="547" t="s">
        <v>228</v>
      </c>
      <c r="O28" s="548"/>
      <c r="P28" s="549"/>
      <c r="Q28" s="550"/>
      <c r="R28" s="550"/>
      <c r="S28" s="549"/>
      <c r="T28" s="550"/>
      <c r="U28" s="550"/>
      <c r="V28" s="549"/>
      <c r="W28" s="550"/>
      <c r="X28" s="550"/>
      <c r="Y28" s="549"/>
      <c r="Z28" s="550"/>
      <c r="AA28" s="550"/>
      <c r="AB28" s="549"/>
      <c r="AC28" s="550"/>
      <c r="AD28" s="550"/>
      <c r="AE28" s="549"/>
      <c r="AF28" s="550"/>
      <c r="AG28" s="550"/>
      <c r="AH28" s="549"/>
      <c r="AI28" s="550"/>
      <c r="AJ28" s="550"/>
      <c r="AK28" s="549"/>
      <c r="AL28" s="550"/>
      <c r="AM28" s="550"/>
      <c r="AN28" s="549"/>
      <c r="AO28" s="550"/>
      <c r="AP28" s="550"/>
      <c r="AQ28" s="549"/>
      <c r="AR28" s="550"/>
      <c r="AS28" s="550"/>
      <c r="AT28" s="549"/>
      <c r="AU28" s="550"/>
      <c r="AV28" s="550"/>
      <c r="AW28" s="549"/>
      <c r="AX28" s="550"/>
      <c r="AY28" s="550"/>
      <c r="AZ28" s="549"/>
      <c r="BA28" s="550"/>
      <c r="BB28" s="550"/>
      <c r="BC28" s="550"/>
    </row>
    <row r="29" spans="1:55">
      <c r="A29" s="531" t="str">
        <f t="shared" si="0"/>
        <v>CP</v>
      </c>
      <c r="B29" s="50" t="str">
        <f t="shared" si="1"/>
        <v>Div12</v>
      </c>
      <c r="C29" s="50" t="s">
        <v>258</v>
      </c>
      <c r="D29" s="532" t="s">
        <v>125</v>
      </c>
      <c r="E29" s="50" t="s">
        <v>52</v>
      </c>
      <c r="F29" s="533" t="str">
        <f>R.6LQImpName1</f>
        <v xml:space="preserve"> </v>
      </c>
      <c r="G29" s="543">
        <f>R.6LQImpHrs1</f>
        <v>0</v>
      </c>
      <c r="H29" s="544">
        <f>Table3[[#This Row],[Hrs Rank]]</f>
        <v>0</v>
      </c>
      <c r="I29" s="534">
        <f t="shared" si="2"/>
        <v>0</v>
      </c>
      <c r="J29" s="534">
        <f t="shared" si="3"/>
        <v>0</v>
      </c>
      <c r="K29" s="546"/>
      <c r="L29" s="546"/>
      <c r="M29" s="547" t="s">
        <v>228</v>
      </c>
      <c r="N29" s="547" t="s">
        <v>228</v>
      </c>
      <c r="O29" s="548"/>
      <c r="P29" s="549"/>
      <c r="Q29" s="550"/>
      <c r="R29" s="550"/>
      <c r="S29" s="549"/>
      <c r="T29" s="550"/>
      <c r="U29" s="550"/>
      <c r="V29" s="549"/>
      <c r="W29" s="550"/>
      <c r="X29" s="550"/>
      <c r="Y29" s="549"/>
      <c r="Z29" s="550"/>
      <c r="AA29" s="550"/>
      <c r="AB29" s="549"/>
      <c r="AC29" s="550"/>
      <c r="AD29" s="550"/>
      <c r="AE29" s="549"/>
      <c r="AF29" s="550"/>
      <c r="AG29" s="550"/>
      <c r="AH29" s="549"/>
      <c r="AI29" s="550"/>
      <c r="AJ29" s="550"/>
      <c r="AK29" s="549"/>
      <c r="AL29" s="550"/>
      <c r="AM29" s="550"/>
      <c r="AN29" s="549"/>
      <c r="AO29" s="550"/>
      <c r="AP29" s="550"/>
      <c r="AQ29" s="549"/>
      <c r="AR29" s="550"/>
      <c r="AS29" s="550"/>
      <c r="AT29" s="549"/>
      <c r="AU29" s="550"/>
      <c r="AV29" s="550"/>
      <c r="AW29" s="549"/>
      <c r="AX29" s="550"/>
      <c r="AY29" s="550"/>
      <c r="AZ29" s="549"/>
      <c r="BA29" s="550"/>
      <c r="BB29" s="550"/>
      <c r="BC29" s="550"/>
    </row>
    <row r="30" spans="1:55">
      <c r="A30" s="531" t="str">
        <f t="shared" si="0"/>
        <v>CP</v>
      </c>
      <c r="B30" s="50" t="str">
        <f t="shared" si="1"/>
        <v>Div12</v>
      </c>
      <c r="C30" s="50" t="s">
        <v>258</v>
      </c>
      <c r="D30" s="532" t="s">
        <v>125</v>
      </c>
      <c r="E30" s="50" t="s">
        <v>52</v>
      </c>
      <c r="F30" s="533" t="str">
        <f>R.6LQImpName2</f>
        <v xml:space="preserve"> </v>
      </c>
      <c r="G30" s="543">
        <f>R.6LQImpHrs2</f>
        <v>0</v>
      </c>
      <c r="H30" s="544">
        <f>Table3[[#This Row],[Hrs Rank]]</f>
        <v>0</v>
      </c>
      <c r="I30" s="534">
        <f t="shared" si="2"/>
        <v>0</v>
      </c>
      <c r="J30" s="534">
        <f t="shared" si="3"/>
        <v>0</v>
      </c>
      <c r="K30" s="546"/>
      <c r="L30" s="546"/>
      <c r="M30" s="547" t="s">
        <v>228</v>
      </c>
      <c r="N30" s="547" t="s">
        <v>228</v>
      </c>
      <c r="O30" s="548"/>
      <c r="P30" s="549"/>
      <c r="Q30" s="550"/>
      <c r="R30" s="550"/>
      <c r="S30" s="549"/>
      <c r="T30" s="550"/>
      <c r="U30" s="550"/>
      <c r="V30" s="549"/>
      <c r="W30" s="550"/>
      <c r="X30" s="550"/>
      <c r="Y30" s="549"/>
      <c r="Z30" s="550"/>
      <c r="AA30" s="550"/>
      <c r="AB30" s="549"/>
      <c r="AC30" s="550"/>
      <c r="AD30" s="550"/>
      <c r="AE30" s="549"/>
      <c r="AF30" s="550"/>
      <c r="AG30" s="550"/>
      <c r="AH30" s="549"/>
      <c r="AI30" s="550"/>
      <c r="AJ30" s="550"/>
      <c r="AK30" s="549"/>
      <c r="AL30" s="550"/>
      <c r="AM30" s="550"/>
      <c r="AN30" s="549"/>
      <c r="AO30" s="550"/>
      <c r="AP30" s="550"/>
      <c r="AQ30" s="549"/>
      <c r="AR30" s="550"/>
      <c r="AS30" s="550"/>
      <c r="AT30" s="549"/>
      <c r="AU30" s="550"/>
      <c r="AV30" s="550"/>
      <c r="AW30" s="549"/>
      <c r="AX30" s="550"/>
      <c r="AY30" s="550"/>
      <c r="AZ30" s="549"/>
      <c r="BA30" s="550"/>
      <c r="BB30" s="550"/>
      <c r="BC30" s="550"/>
    </row>
    <row r="31" spans="1:55">
      <c r="A31" s="531" t="str">
        <f t="shared" si="0"/>
        <v>CP</v>
      </c>
      <c r="B31" s="50" t="str">
        <f t="shared" si="1"/>
        <v>Div12</v>
      </c>
      <c r="C31" s="50" t="s">
        <v>258</v>
      </c>
      <c r="D31" s="532" t="s">
        <v>125</v>
      </c>
      <c r="E31" s="50" t="s">
        <v>52</v>
      </c>
      <c r="F31" s="533" t="str">
        <f>R.6LQImpName3</f>
        <v xml:space="preserve"> </v>
      </c>
      <c r="G31" s="543">
        <f>R.6LQImpHrs3</f>
        <v>0</v>
      </c>
      <c r="H31" s="544">
        <f>Table3[[#This Row],[Hrs Rank]]</f>
        <v>0</v>
      </c>
      <c r="I31" s="534">
        <f t="shared" si="2"/>
        <v>0</v>
      </c>
      <c r="J31" s="534">
        <f t="shared" si="3"/>
        <v>0</v>
      </c>
      <c r="K31" s="546"/>
      <c r="L31" s="546"/>
      <c r="M31" s="547" t="s">
        <v>228</v>
      </c>
      <c r="N31" s="547" t="s">
        <v>228</v>
      </c>
      <c r="O31" s="548"/>
      <c r="P31" s="549"/>
      <c r="Q31" s="550"/>
      <c r="R31" s="550"/>
      <c r="S31" s="549"/>
      <c r="T31" s="550"/>
      <c r="U31" s="550"/>
      <c r="V31" s="549"/>
      <c r="W31" s="550"/>
      <c r="X31" s="550"/>
      <c r="Y31" s="549"/>
      <c r="Z31" s="550"/>
      <c r="AA31" s="550"/>
      <c r="AB31" s="549"/>
      <c r="AC31" s="550"/>
      <c r="AD31" s="550"/>
      <c r="AE31" s="549"/>
      <c r="AF31" s="550"/>
      <c r="AG31" s="550"/>
      <c r="AH31" s="549"/>
      <c r="AI31" s="550"/>
      <c r="AJ31" s="550"/>
      <c r="AK31" s="549"/>
      <c r="AL31" s="550"/>
      <c r="AM31" s="550"/>
      <c r="AN31" s="549"/>
      <c r="AO31" s="550"/>
      <c r="AP31" s="550"/>
      <c r="AQ31" s="549"/>
      <c r="AR31" s="550"/>
      <c r="AS31" s="550"/>
      <c r="AT31" s="549"/>
      <c r="AU31" s="550"/>
      <c r="AV31" s="550"/>
      <c r="AW31" s="549"/>
      <c r="AX31" s="550"/>
      <c r="AY31" s="550"/>
      <c r="AZ31" s="549"/>
      <c r="BA31" s="550"/>
      <c r="BB31" s="550"/>
      <c r="BC31" s="550"/>
    </row>
    <row r="32" spans="1:55">
      <c r="A32" s="531" t="str">
        <f t="shared" si="0"/>
        <v>CP</v>
      </c>
      <c r="B32" s="50" t="str">
        <f t="shared" si="1"/>
        <v>Div12</v>
      </c>
      <c r="C32" s="50" t="s">
        <v>258</v>
      </c>
      <c r="D32" s="532" t="s">
        <v>125</v>
      </c>
      <c r="E32" s="50" t="s">
        <v>52</v>
      </c>
      <c r="F32" s="533" t="str">
        <f>R.6LQImpName4</f>
        <v xml:space="preserve"> </v>
      </c>
      <c r="G32" s="543">
        <f>R.6LQImpHrs4</f>
        <v>0</v>
      </c>
      <c r="H32" s="544">
        <f>Table3[[#This Row],[Hrs Rank]]</f>
        <v>0</v>
      </c>
      <c r="I32" s="534">
        <f t="shared" si="2"/>
        <v>0</v>
      </c>
      <c r="J32" s="534">
        <f t="shared" si="3"/>
        <v>0</v>
      </c>
      <c r="K32" s="546"/>
      <c r="L32" s="546"/>
      <c r="M32" s="547" t="s">
        <v>228</v>
      </c>
      <c r="N32" s="547" t="s">
        <v>228</v>
      </c>
      <c r="O32" s="548"/>
      <c r="P32" s="549"/>
      <c r="Q32" s="550"/>
      <c r="R32" s="550"/>
      <c r="S32" s="549"/>
      <c r="T32" s="550"/>
      <c r="U32" s="550"/>
      <c r="V32" s="549"/>
      <c r="W32" s="550"/>
      <c r="X32" s="550"/>
      <c r="Y32" s="549"/>
      <c r="Z32" s="550"/>
      <c r="AA32" s="550"/>
      <c r="AB32" s="549"/>
      <c r="AC32" s="550"/>
      <c r="AD32" s="550"/>
      <c r="AE32" s="549"/>
      <c r="AF32" s="550"/>
      <c r="AG32" s="550"/>
      <c r="AH32" s="549"/>
      <c r="AI32" s="550"/>
      <c r="AJ32" s="550"/>
      <c r="AK32" s="549"/>
      <c r="AL32" s="550"/>
      <c r="AM32" s="550"/>
      <c r="AN32" s="549"/>
      <c r="AO32" s="550"/>
      <c r="AP32" s="550"/>
      <c r="AQ32" s="549"/>
      <c r="AR32" s="550"/>
      <c r="AS32" s="550"/>
      <c r="AT32" s="549"/>
      <c r="AU32" s="550"/>
      <c r="AV32" s="550"/>
      <c r="AW32" s="549"/>
      <c r="AX32" s="550"/>
      <c r="AY32" s="550"/>
      <c r="AZ32" s="549"/>
      <c r="BA32" s="550"/>
      <c r="BB32" s="550"/>
      <c r="BC32" s="550"/>
    </row>
    <row r="33" spans="1:55">
      <c r="A33" s="531" t="str">
        <f t="shared" si="0"/>
        <v>CP</v>
      </c>
      <c r="B33" s="50" t="str">
        <f t="shared" si="1"/>
        <v>Div12</v>
      </c>
      <c r="C33" s="50" t="s">
        <v>258</v>
      </c>
      <c r="D33" s="532" t="s">
        <v>126</v>
      </c>
      <c r="E33" s="50" t="s">
        <v>53</v>
      </c>
      <c r="F33" s="535">
        <f>R.6WQDevName1</f>
        <v>0</v>
      </c>
      <c r="G33" s="543">
        <f>R.6WQDevHrs1</f>
        <v>0</v>
      </c>
      <c r="H33" s="544">
        <f>Table3[[#This Row],[Hrs Rank]]</f>
        <v>0</v>
      </c>
      <c r="I33" s="534">
        <f t="shared" si="2"/>
        <v>0</v>
      </c>
      <c r="J33" s="534">
        <f t="shared" si="3"/>
        <v>0</v>
      </c>
      <c r="K33" s="546"/>
      <c r="L33" s="546"/>
      <c r="M33" s="547" t="s">
        <v>228</v>
      </c>
      <c r="N33" s="547" t="s">
        <v>228</v>
      </c>
      <c r="O33" s="548"/>
      <c r="P33" s="549"/>
      <c r="Q33" s="550"/>
      <c r="R33" s="550"/>
      <c r="S33" s="549"/>
      <c r="T33" s="550"/>
      <c r="U33" s="550"/>
      <c r="V33" s="549"/>
      <c r="W33" s="550"/>
      <c r="X33" s="550"/>
      <c r="Y33" s="549"/>
      <c r="Z33" s="550"/>
      <c r="AA33" s="550"/>
      <c r="AB33" s="549"/>
      <c r="AC33" s="550"/>
      <c r="AD33" s="550"/>
      <c r="AE33" s="549"/>
      <c r="AF33" s="550"/>
      <c r="AG33" s="550"/>
      <c r="AH33" s="549"/>
      <c r="AI33" s="550"/>
      <c r="AJ33" s="550"/>
      <c r="AK33" s="549"/>
      <c r="AL33" s="550"/>
      <c r="AM33" s="550"/>
      <c r="AN33" s="549"/>
      <c r="AO33" s="550"/>
      <c r="AP33" s="550"/>
      <c r="AQ33" s="549"/>
      <c r="AR33" s="550"/>
      <c r="AS33" s="550"/>
      <c r="AT33" s="549"/>
      <c r="AU33" s="550"/>
      <c r="AV33" s="550"/>
      <c r="AW33" s="549"/>
      <c r="AX33" s="550"/>
      <c r="AY33" s="550"/>
      <c r="AZ33" s="549"/>
      <c r="BA33" s="550"/>
      <c r="BB33" s="550"/>
      <c r="BC33" s="550"/>
    </row>
    <row r="34" spans="1:55">
      <c r="A34" s="531" t="str">
        <f t="shared" si="0"/>
        <v>CP</v>
      </c>
      <c r="B34" s="50" t="str">
        <f t="shared" si="1"/>
        <v>Div12</v>
      </c>
      <c r="C34" s="50" t="s">
        <v>258</v>
      </c>
      <c r="D34" s="532" t="s">
        <v>126</v>
      </c>
      <c r="E34" s="50" t="s">
        <v>53</v>
      </c>
      <c r="F34" s="535">
        <f>R.6WQDevName2</f>
        <v>0</v>
      </c>
      <c r="G34" s="543">
        <f>R.6WQDevHrs2</f>
        <v>0</v>
      </c>
      <c r="H34" s="544">
        <f>Table3[[#This Row],[Hrs Rank]]</f>
        <v>0</v>
      </c>
      <c r="I34" s="534">
        <f t="shared" si="2"/>
        <v>0</v>
      </c>
      <c r="J34" s="534">
        <f t="shared" si="3"/>
        <v>0</v>
      </c>
      <c r="K34" s="546"/>
      <c r="L34" s="546"/>
      <c r="M34" s="547" t="s">
        <v>228</v>
      </c>
      <c r="N34" s="547" t="s">
        <v>228</v>
      </c>
      <c r="O34" s="548"/>
      <c r="P34" s="549"/>
      <c r="Q34" s="550"/>
      <c r="R34" s="550"/>
      <c r="S34" s="549"/>
      <c r="T34" s="550"/>
      <c r="U34" s="550"/>
      <c r="V34" s="549"/>
      <c r="W34" s="550"/>
      <c r="X34" s="550"/>
      <c r="Y34" s="549"/>
      <c r="Z34" s="550"/>
      <c r="AA34" s="550"/>
      <c r="AB34" s="549"/>
      <c r="AC34" s="550"/>
      <c r="AD34" s="550"/>
      <c r="AE34" s="549"/>
      <c r="AF34" s="550"/>
      <c r="AG34" s="550"/>
      <c r="AH34" s="549"/>
      <c r="AI34" s="550"/>
      <c r="AJ34" s="550"/>
      <c r="AK34" s="549"/>
      <c r="AL34" s="550"/>
      <c r="AM34" s="550"/>
      <c r="AN34" s="549"/>
      <c r="AO34" s="550"/>
      <c r="AP34" s="550"/>
      <c r="AQ34" s="549"/>
      <c r="AR34" s="550"/>
      <c r="AS34" s="550"/>
      <c r="AT34" s="549"/>
      <c r="AU34" s="550"/>
      <c r="AV34" s="550"/>
      <c r="AW34" s="549"/>
      <c r="AX34" s="550"/>
      <c r="AY34" s="550"/>
      <c r="AZ34" s="549"/>
      <c r="BA34" s="550"/>
      <c r="BB34" s="550"/>
      <c r="BC34" s="550"/>
    </row>
    <row r="35" spans="1:55">
      <c r="A35" s="531" t="str">
        <f t="shared" ref="A35:A66" si="4">R.1Division</f>
        <v>CP</v>
      </c>
      <c r="B35" s="50" t="str">
        <f t="shared" ref="B35:B66" si="5">R.1CodeName</f>
        <v>Div12</v>
      </c>
      <c r="C35" s="50" t="s">
        <v>258</v>
      </c>
      <c r="D35" s="532" t="s">
        <v>126</v>
      </c>
      <c r="E35" s="50" t="s">
        <v>53</v>
      </c>
      <c r="F35" s="535">
        <f>R.6WQDevName3</f>
        <v>0</v>
      </c>
      <c r="G35" s="543">
        <f>R.6WQDevHrs3</f>
        <v>0</v>
      </c>
      <c r="H35" s="544">
        <f>Table3[[#This Row],[Hrs Rank]]</f>
        <v>0</v>
      </c>
      <c r="I35" s="534">
        <f t="shared" si="2"/>
        <v>0</v>
      </c>
      <c r="J35" s="534">
        <f t="shared" si="3"/>
        <v>0</v>
      </c>
      <c r="K35" s="546"/>
      <c r="L35" s="546"/>
      <c r="M35" s="547" t="s">
        <v>228</v>
      </c>
      <c r="N35" s="547" t="s">
        <v>228</v>
      </c>
      <c r="O35" s="548"/>
      <c r="P35" s="549"/>
      <c r="Q35" s="550"/>
      <c r="R35" s="550"/>
      <c r="S35" s="549"/>
      <c r="T35" s="550"/>
      <c r="U35" s="550"/>
      <c r="V35" s="549"/>
      <c r="W35" s="550"/>
      <c r="X35" s="550"/>
      <c r="Y35" s="549"/>
      <c r="Z35" s="550"/>
      <c r="AA35" s="550"/>
      <c r="AB35" s="549"/>
      <c r="AC35" s="550"/>
      <c r="AD35" s="550"/>
      <c r="AE35" s="549"/>
      <c r="AF35" s="550"/>
      <c r="AG35" s="550"/>
      <c r="AH35" s="549"/>
      <c r="AI35" s="550"/>
      <c r="AJ35" s="550"/>
      <c r="AK35" s="549"/>
      <c r="AL35" s="550"/>
      <c r="AM35" s="550"/>
      <c r="AN35" s="549"/>
      <c r="AO35" s="550"/>
      <c r="AP35" s="550"/>
      <c r="AQ35" s="549"/>
      <c r="AR35" s="550"/>
      <c r="AS35" s="550"/>
      <c r="AT35" s="549"/>
      <c r="AU35" s="550"/>
      <c r="AV35" s="550"/>
      <c r="AW35" s="549"/>
      <c r="AX35" s="550"/>
      <c r="AY35" s="550"/>
      <c r="AZ35" s="549"/>
      <c r="BA35" s="550"/>
      <c r="BB35" s="550"/>
      <c r="BC35" s="550"/>
    </row>
    <row r="36" spans="1:55">
      <c r="A36" s="531" t="str">
        <f t="shared" si="4"/>
        <v>CP</v>
      </c>
      <c r="B36" s="50" t="str">
        <f t="shared" si="5"/>
        <v>Div12</v>
      </c>
      <c r="C36" s="50" t="s">
        <v>258</v>
      </c>
      <c r="D36" s="532" t="s">
        <v>126</v>
      </c>
      <c r="E36" s="50" t="s">
        <v>53</v>
      </c>
      <c r="F36" s="535">
        <f>R.6WQDevName4</f>
        <v>0</v>
      </c>
      <c r="G36" s="543">
        <f>R.6WQDevHrs4</f>
        <v>0</v>
      </c>
      <c r="H36" s="544">
        <f>Table3[[#This Row],[Hrs Rank]]</f>
        <v>0</v>
      </c>
      <c r="I36" s="534">
        <f t="shared" si="2"/>
        <v>0</v>
      </c>
      <c r="J36" s="534">
        <f t="shared" si="3"/>
        <v>0</v>
      </c>
      <c r="K36" s="546"/>
      <c r="L36" s="546"/>
      <c r="M36" s="547" t="s">
        <v>228</v>
      </c>
      <c r="N36" s="547" t="s">
        <v>228</v>
      </c>
      <c r="O36" s="548"/>
      <c r="P36" s="549"/>
      <c r="Q36" s="550"/>
      <c r="R36" s="550"/>
      <c r="S36" s="549"/>
      <c r="T36" s="550"/>
      <c r="U36" s="550"/>
      <c r="V36" s="549"/>
      <c r="W36" s="550"/>
      <c r="X36" s="550"/>
      <c r="Y36" s="549"/>
      <c r="Z36" s="550"/>
      <c r="AA36" s="550"/>
      <c r="AB36" s="549"/>
      <c r="AC36" s="550"/>
      <c r="AD36" s="550"/>
      <c r="AE36" s="549"/>
      <c r="AF36" s="550"/>
      <c r="AG36" s="550"/>
      <c r="AH36" s="549"/>
      <c r="AI36" s="550"/>
      <c r="AJ36" s="550"/>
      <c r="AK36" s="549"/>
      <c r="AL36" s="550"/>
      <c r="AM36" s="550"/>
      <c r="AN36" s="549"/>
      <c r="AO36" s="550"/>
      <c r="AP36" s="550"/>
      <c r="AQ36" s="549"/>
      <c r="AR36" s="550"/>
      <c r="AS36" s="550"/>
      <c r="AT36" s="549"/>
      <c r="AU36" s="550"/>
      <c r="AV36" s="550"/>
      <c r="AW36" s="549"/>
      <c r="AX36" s="550"/>
      <c r="AY36" s="550"/>
      <c r="AZ36" s="549"/>
      <c r="BA36" s="550"/>
      <c r="BB36" s="550"/>
      <c r="BC36" s="550"/>
    </row>
    <row r="37" spans="1:55">
      <c r="A37" s="531" t="str">
        <f t="shared" si="4"/>
        <v>CP</v>
      </c>
      <c r="B37" s="50" t="str">
        <f t="shared" si="5"/>
        <v>Div12</v>
      </c>
      <c r="C37" s="50" t="s">
        <v>258</v>
      </c>
      <c r="D37" s="532" t="s">
        <v>126</v>
      </c>
      <c r="E37" s="50" t="s">
        <v>52</v>
      </c>
      <c r="F37" s="535" t="str">
        <f>R.6WQImpName1</f>
        <v xml:space="preserve"> </v>
      </c>
      <c r="G37" s="543">
        <f>R.6WQImpHrs1</f>
        <v>0</v>
      </c>
      <c r="H37" s="544">
        <f>Table3[[#This Row],[Hrs Rank]]</f>
        <v>0</v>
      </c>
      <c r="I37" s="534">
        <f t="shared" si="2"/>
        <v>0</v>
      </c>
      <c r="J37" s="534">
        <f t="shared" si="3"/>
        <v>0</v>
      </c>
      <c r="K37" s="546"/>
      <c r="L37" s="546"/>
      <c r="M37" s="547" t="s">
        <v>228</v>
      </c>
      <c r="N37" s="547" t="s">
        <v>228</v>
      </c>
      <c r="O37" s="548"/>
      <c r="P37" s="549"/>
      <c r="Q37" s="550"/>
      <c r="R37" s="550"/>
      <c r="S37" s="549"/>
      <c r="T37" s="550"/>
      <c r="U37" s="550"/>
      <c r="V37" s="549"/>
      <c r="W37" s="550"/>
      <c r="X37" s="550"/>
      <c r="Y37" s="549"/>
      <c r="Z37" s="550"/>
      <c r="AA37" s="550"/>
      <c r="AB37" s="549"/>
      <c r="AC37" s="550"/>
      <c r="AD37" s="550"/>
      <c r="AE37" s="549"/>
      <c r="AF37" s="550"/>
      <c r="AG37" s="550"/>
      <c r="AH37" s="549"/>
      <c r="AI37" s="550"/>
      <c r="AJ37" s="550"/>
      <c r="AK37" s="549"/>
      <c r="AL37" s="550"/>
      <c r="AM37" s="550"/>
      <c r="AN37" s="549"/>
      <c r="AO37" s="550"/>
      <c r="AP37" s="550"/>
      <c r="AQ37" s="549"/>
      <c r="AR37" s="550"/>
      <c r="AS37" s="550"/>
      <c r="AT37" s="549"/>
      <c r="AU37" s="550"/>
      <c r="AV37" s="550"/>
      <c r="AW37" s="549"/>
      <c r="AX37" s="550"/>
      <c r="AY37" s="550"/>
      <c r="AZ37" s="549"/>
      <c r="BA37" s="550"/>
      <c r="BB37" s="550"/>
      <c r="BC37" s="550"/>
    </row>
    <row r="38" spans="1:55">
      <c r="A38" s="531" t="str">
        <f t="shared" si="4"/>
        <v>CP</v>
      </c>
      <c r="B38" s="50" t="str">
        <f t="shared" si="5"/>
        <v>Div12</v>
      </c>
      <c r="C38" s="50" t="s">
        <v>258</v>
      </c>
      <c r="D38" s="532" t="s">
        <v>126</v>
      </c>
      <c r="E38" s="50" t="s">
        <v>52</v>
      </c>
      <c r="F38" s="535" t="str">
        <f>R.6WQImpName2</f>
        <v xml:space="preserve"> </v>
      </c>
      <c r="G38" s="543">
        <f>R.6WQImpHrs2</f>
        <v>0</v>
      </c>
      <c r="H38" s="544">
        <f>Table3[[#This Row],[Hrs Rank]]</f>
        <v>0</v>
      </c>
      <c r="I38" s="534">
        <f t="shared" si="2"/>
        <v>0</v>
      </c>
      <c r="J38" s="534">
        <f t="shared" si="3"/>
        <v>0</v>
      </c>
      <c r="K38" s="546"/>
      <c r="L38" s="546"/>
      <c r="M38" s="547" t="s">
        <v>228</v>
      </c>
      <c r="N38" s="547" t="s">
        <v>228</v>
      </c>
      <c r="O38" s="548"/>
      <c r="P38" s="549"/>
      <c r="Q38" s="550"/>
      <c r="R38" s="550"/>
      <c r="S38" s="549"/>
      <c r="T38" s="550"/>
      <c r="U38" s="550"/>
      <c r="V38" s="549"/>
      <c r="W38" s="550"/>
      <c r="X38" s="550"/>
      <c r="Y38" s="549"/>
      <c r="Z38" s="550"/>
      <c r="AA38" s="550"/>
      <c r="AB38" s="549"/>
      <c r="AC38" s="550"/>
      <c r="AD38" s="550"/>
      <c r="AE38" s="549"/>
      <c r="AF38" s="550"/>
      <c r="AG38" s="550"/>
      <c r="AH38" s="549"/>
      <c r="AI38" s="550"/>
      <c r="AJ38" s="550"/>
      <c r="AK38" s="549"/>
      <c r="AL38" s="550"/>
      <c r="AM38" s="550"/>
      <c r="AN38" s="549"/>
      <c r="AO38" s="550"/>
      <c r="AP38" s="550"/>
      <c r="AQ38" s="549"/>
      <c r="AR38" s="550"/>
      <c r="AS38" s="550"/>
      <c r="AT38" s="549"/>
      <c r="AU38" s="550"/>
      <c r="AV38" s="550"/>
      <c r="AW38" s="549"/>
      <c r="AX38" s="550"/>
      <c r="AY38" s="550"/>
      <c r="AZ38" s="549"/>
      <c r="BA38" s="550"/>
      <c r="BB38" s="550"/>
      <c r="BC38" s="550"/>
    </row>
    <row r="39" spans="1:55">
      <c r="A39" s="531" t="str">
        <f t="shared" si="4"/>
        <v>CP</v>
      </c>
      <c r="B39" s="50" t="str">
        <f t="shared" si="5"/>
        <v>Div12</v>
      </c>
      <c r="C39" s="50" t="s">
        <v>258</v>
      </c>
      <c r="D39" s="532" t="s">
        <v>126</v>
      </c>
      <c r="E39" s="50" t="s">
        <v>52</v>
      </c>
      <c r="F39" s="535" t="str">
        <f>R.6WQImpName3</f>
        <v xml:space="preserve"> </v>
      </c>
      <c r="G39" s="543">
        <f>R.6WQImpHrs3</f>
        <v>0</v>
      </c>
      <c r="H39" s="544">
        <f>Table3[[#This Row],[Hrs Rank]]</f>
        <v>0</v>
      </c>
      <c r="I39" s="534">
        <f t="shared" si="2"/>
        <v>0</v>
      </c>
      <c r="J39" s="534">
        <f t="shared" si="3"/>
        <v>0</v>
      </c>
      <c r="K39" s="546"/>
      <c r="L39" s="546"/>
      <c r="M39" s="547" t="s">
        <v>228</v>
      </c>
      <c r="N39" s="547" t="s">
        <v>228</v>
      </c>
      <c r="O39" s="548"/>
      <c r="P39" s="549"/>
      <c r="Q39" s="550"/>
      <c r="R39" s="550"/>
      <c r="S39" s="549"/>
      <c r="T39" s="550"/>
      <c r="U39" s="550"/>
      <c r="V39" s="549"/>
      <c r="W39" s="550"/>
      <c r="X39" s="550"/>
      <c r="Y39" s="549"/>
      <c r="Z39" s="550"/>
      <c r="AA39" s="550"/>
      <c r="AB39" s="549"/>
      <c r="AC39" s="550"/>
      <c r="AD39" s="550"/>
      <c r="AE39" s="549"/>
      <c r="AF39" s="550"/>
      <c r="AG39" s="550"/>
      <c r="AH39" s="549"/>
      <c r="AI39" s="550"/>
      <c r="AJ39" s="550"/>
      <c r="AK39" s="549"/>
      <c r="AL39" s="550"/>
      <c r="AM39" s="550"/>
      <c r="AN39" s="549"/>
      <c r="AO39" s="550"/>
      <c r="AP39" s="550"/>
      <c r="AQ39" s="549"/>
      <c r="AR39" s="550"/>
      <c r="AS39" s="550"/>
      <c r="AT39" s="549"/>
      <c r="AU39" s="550"/>
      <c r="AV39" s="550"/>
      <c r="AW39" s="549"/>
      <c r="AX39" s="550"/>
      <c r="AY39" s="550"/>
      <c r="AZ39" s="549"/>
      <c r="BA39" s="550"/>
      <c r="BB39" s="550"/>
      <c r="BC39" s="550"/>
    </row>
    <row r="40" spans="1:55">
      <c r="A40" s="531" t="str">
        <f t="shared" si="4"/>
        <v>CP</v>
      </c>
      <c r="B40" s="50" t="str">
        <f t="shared" si="5"/>
        <v>Div12</v>
      </c>
      <c r="C40" s="50" t="s">
        <v>258</v>
      </c>
      <c r="D40" s="532" t="s">
        <v>126</v>
      </c>
      <c r="E40" s="50" t="s">
        <v>52</v>
      </c>
      <c r="F40" s="535" t="str">
        <f>R.6WQImpName4</f>
        <v xml:space="preserve"> </v>
      </c>
      <c r="G40" s="543">
        <f>R.6WQImpHrs4</f>
        <v>0</v>
      </c>
      <c r="H40" s="544">
        <f>Table3[[#This Row],[Hrs Rank]]</f>
        <v>0</v>
      </c>
      <c r="I40" s="534">
        <f t="shared" si="2"/>
        <v>0</v>
      </c>
      <c r="J40" s="534">
        <f t="shared" si="3"/>
        <v>0</v>
      </c>
      <c r="K40" s="546"/>
      <c r="L40" s="546"/>
      <c r="M40" s="547" t="s">
        <v>228</v>
      </c>
      <c r="N40" s="547" t="s">
        <v>228</v>
      </c>
      <c r="O40" s="548"/>
      <c r="P40" s="549"/>
      <c r="Q40" s="550"/>
      <c r="R40" s="550"/>
      <c r="S40" s="549"/>
      <c r="T40" s="550"/>
      <c r="U40" s="550"/>
      <c r="V40" s="549"/>
      <c r="W40" s="550"/>
      <c r="X40" s="550"/>
      <c r="Y40" s="549"/>
      <c r="Z40" s="550"/>
      <c r="AA40" s="550"/>
      <c r="AB40" s="549"/>
      <c r="AC40" s="550"/>
      <c r="AD40" s="550"/>
      <c r="AE40" s="549"/>
      <c r="AF40" s="550"/>
      <c r="AG40" s="550"/>
      <c r="AH40" s="549"/>
      <c r="AI40" s="550"/>
      <c r="AJ40" s="550"/>
      <c r="AK40" s="549"/>
      <c r="AL40" s="550"/>
      <c r="AM40" s="550"/>
      <c r="AN40" s="549"/>
      <c r="AO40" s="550"/>
      <c r="AP40" s="550"/>
      <c r="AQ40" s="549"/>
      <c r="AR40" s="550"/>
      <c r="AS40" s="550"/>
      <c r="AT40" s="549"/>
      <c r="AU40" s="550"/>
      <c r="AV40" s="550"/>
      <c r="AW40" s="549"/>
      <c r="AX40" s="550"/>
      <c r="AY40" s="550"/>
      <c r="AZ40" s="549"/>
      <c r="BA40" s="550"/>
      <c r="BB40" s="550"/>
      <c r="BC40" s="550"/>
    </row>
    <row r="41" spans="1:55">
      <c r="A41" s="531" t="str">
        <f t="shared" si="4"/>
        <v>CP</v>
      </c>
      <c r="B41" s="50" t="str">
        <f t="shared" si="5"/>
        <v>Div12</v>
      </c>
      <c r="C41" s="50" t="s">
        <v>258</v>
      </c>
      <c r="D41" s="532" t="s">
        <v>127</v>
      </c>
      <c r="E41" s="50" t="s">
        <v>53</v>
      </c>
      <c r="F41" s="535" t="str">
        <f>R.6AQDevName1</f>
        <v xml:space="preserve"> </v>
      </c>
      <c r="G41" s="543">
        <f>R.6AQDevHrs1</f>
        <v>0</v>
      </c>
      <c r="H41" s="544">
        <f>Table3[[#This Row],[Hrs Rank]]</f>
        <v>0</v>
      </c>
      <c r="I41" s="534">
        <f t="shared" si="2"/>
        <v>0</v>
      </c>
      <c r="J41" s="534">
        <f t="shared" si="3"/>
        <v>0</v>
      </c>
      <c r="K41" s="546"/>
      <c r="L41" s="546"/>
      <c r="M41" s="547" t="s">
        <v>228</v>
      </c>
      <c r="N41" s="547" t="s">
        <v>228</v>
      </c>
      <c r="O41" s="548"/>
      <c r="P41" s="549"/>
      <c r="Q41" s="550"/>
      <c r="R41" s="550"/>
      <c r="S41" s="549"/>
      <c r="T41" s="550"/>
      <c r="U41" s="550"/>
      <c r="V41" s="549"/>
      <c r="W41" s="550"/>
      <c r="X41" s="550"/>
      <c r="Y41" s="549"/>
      <c r="Z41" s="550"/>
      <c r="AA41" s="550"/>
      <c r="AB41" s="549"/>
      <c r="AC41" s="550"/>
      <c r="AD41" s="550"/>
      <c r="AE41" s="549"/>
      <c r="AF41" s="550"/>
      <c r="AG41" s="550"/>
      <c r="AH41" s="549"/>
      <c r="AI41" s="550"/>
      <c r="AJ41" s="550"/>
      <c r="AK41" s="549"/>
      <c r="AL41" s="550"/>
      <c r="AM41" s="550"/>
      <c r="AN41" s="549"/>
      <c r="AO41" s="550"/>
      <c r="AP41" s="550"/>
      <c r="AQ41" s="549"/>
      <c r="AR41" s="550"/>
      <c r="AS41" s="550"/>
      <c r="AT41" s="549"/>
      <c r="AU41" s="550"/>
      <c r="AV41" s="550"/>
      <c r="AW41" s="549"/>
      <c r="AX41" s="550"/>
      <c r="AY41" s="550"/>
      <c r="AZ41" s="549"/>
      <c r="BA41" s="550"/>
      <c r="BB41" s="550"/>
      <c r="BC41" s="550"/>
    </row>
    <row r="42" spans="1:55">
      <c r="A42" s="531" t="str">
        <f t="shared" si="4"/>
        <v>CP</v>
      </c>
      <c r="B42" s="50" t="str">
        <f t="shared" si="5"/>
        <v>Div12</v>
      </c>
      <c r="C42" s="50" t="s">
        <v>258</v>
      </c>
      <c r="D42" s="532" t="s">
        <v>127</v>
      </c>
      <c r="E42" s="50" t="s">
        <v>53</v>
      </c>
      <c r="F42" s="535" t="str">
        <f>R.6AQDevName2</f>
        <v xml:space="preserve"> </v>
      </c>
      <c r="G42" s="543">
        <f>R.6AQDevHrs2</f>
        <v>0</v>
      </c>
      <c r="H42" s="544">
        <f>Table3[[#This Row],[Hrs Rank]]</f>
        <v>0</v>
      </c>
      <c r="I42" s="534">
        <f t="shared" si="2"/>
        <v>0</v>
      </c>
      <c r="J42" s="534">
        <f t="shared" si="3"/>
        <v>0</v>
      </c>
      <c r="K42" s="546"/>
      <c r="L42" s="546"/>
      <c r="M42" s="547" t="s">
        <v>228</v>
      </c>
      <c r="N42" s="547" t="s">
        <v>228</v>
      </c>
      <c r="O42" s="548"/>
      <c r="P42" s="549"/>
      <c r="Q42" s="550"/>
      <c r="R42" s="550"/>
      <c r="S42" s="549"/>
      <c r="T42" s="550"/>
      <c r="U42" s="550"/>
      <c r="V42" s="549"/>
      <c r="W42" s="550"/>
      <c r="X42" s="550"/>
      <c r="Y42" s="549"/>
      <c r="Z42" s="550"/>
      <c r="AA42" s="550"/>
      <c r="AB42" s="549"/>
      <c r="AC42" s="550"/>
      <c r="AD42" s="550"/>
      <c r="AE42" s="549"/>
      <c r="AF42" s="550"/>
      <c r="AG42" s="550"/>
      <c r="AH42" s="549"/>
      <c r="AI42" s="550"/>
      <c r="AJ42" s="550"/>
      <c r="AK42" s="549"/>
      <c r="AL42" s="550"/>
      <c r="AM42" s="550"/>
      <c r="AN42" s="549"/>
      <c r="AO42" s="550"/>
      <c r="AP42" s="550"/>
      <c r="AQ42" s="549"/>
      <c r="AR42" s="550"/>
      <c r="AS42" s="550"/>
      <c r="AT42" s="549"/>
      <c r="AU42" s="550"/>
      <c r="AV42" s="550"/>
      <c r="AW42" s="549"/>
      <c r="AX42" s="550"/>
      <c r="AY42" s="550"/>
      <c r="AZ42" s="549"/>
      <c r="BA42" s="550"/>
      <c r="BB42" s="550"/>
      <c r="BC42" s="550"/>
    </row>
    <row r="43" spans="1:55">
      <c r="A43" s="531" t="str">
        <f t="shared" si="4"/>
        <v>CP</v>
      </c>
      <c r="B43" s="50" t="str">
        <f t="shared" si="5"/>
        <v>Div12</v>
      </c>
      <c r="C43" s="50" t="s">
        <v>258</v>
      </c>
      <c r="D43" s="532" t="s">
        <v>127</v>
      </c>
      <c r="E43" s="50" t="s">
        <v>53</v>
      </c>
      <c r="F43" s="535" t="str">
        <f>R.6AQDevName3</f>
        <v xml:space="preserve"> </v>
      </c>
      <c r="G43" s="543">
        <f>R.6AQDevHrs3</f>
        <v>0</v>
      </c>
      <c r="H43" s="544">
        <f>Table3[[#This Row],[Hrs Rank]]</f>
        <v>0</v>
      </c>
      <c r="I43" s="534">
        <f t="shared" si="2"/>
        <v>0</v>
      </c>
      <c r="J43" s="534">
        <f t="shared" si="3"/>
        <v>0</v>
      </c>
      <c r="K43" s="546"/>
      <c r="L43" s="546"/>
      <c r="M43" s="547" t="s">
        <v>228</v>
      </c>
      <c r="N43" s="547" t="s">
        <v>228</v>
      </c>
      <c r="O43" s="548"/>
      <c r="P43" s="549"/>
      <c r="Q43" s="550"/>
      <c r="R43" s="550"/>
      <c r="S43" s="549"/>
      <c r="T43" s="550"/>
      <c r="U43" s="550"/>
      <c r="V43" s="549"/>
      <c r="W43" s="550"/>
      <c r="X43" s="550"/>
      <c r="Y43" s="549"/>
      <c r="Z43" s="550"/>
      <c r="AA43" s="550"/>
      <c r="AB43" s="549"/>
      <c r="AC43" s="550"/>
      <c r="AD43" s="550"/>
      <c r="AE43" s="549"/>
      <c r="AF43" s="550"/>
      <c r="AG43" s="550"/>
      <c r="AH43" s="549"/>
      <c r="AI43" s="550"/>
      <c r="AJ43" s="550"/>
      <c r="AK43" s="549"/>
      <c r="AL43" s="550"/>
      <c r="AM43" s="550"/>
      <c r="AN43" s="549"/>
      <c r="AO43" s="550"/>
      <c r="AP43" s="550"/>
      <c r="AQ43" s="549"/>
      <c r="AR43" s="550"/>
      <c r="AS43" s="550"/>
      <c r="AT43" s="549"/>
      <c r="AU43" s="550"/>
      <c r="AV43" s="550"/>
      <c r="AW43" s="549"/>
      <c r="AX43" s="550"/>
      <c r="AY43" s="550"/>
      <c r="AZ43" s="549"/>
      <c r="BA43" s="550"/>
      <c r="BB43" s="550"/>
      <c r="BC43" s="550"/>
    </row>
    <row r="44" spans="1:55">
      <c r="A44" s="531" t="str">
        <f t="shared" si="4"/>
        <v>CP</v>
      </c>
      <c r="B44" s="50" t="str">
        <f t="shared" si="5"/>
        <v>Div12</v>
      </c>
      <c r="C44" s="50" t="s">
        <v>258</v>
      </c>
      <c r="D44" s="532" t="s">
        <v>127</v>
      </c>
      <c r="E44" s="50" t="s">
        <v>53</v>
      </c>
      <c r="F44" s="535">
        <f>R.6AQDevName4</f>
        <v>0</v>
      </c>
      <c r="G44" s="543">
        <f>R.6AQDevHrs4</f>
        <v>0</v>
      </c>
      <c r="H44" s="544">
        <f>Table3[[#This Row],[Hrs Rank]]</f>
        <v>0</v>
      </c>
      <c r="I44" s="534">
        <f t="shared" si="2"/>
        <v>0</v>
      </c>
      <c r="J44" s="534">
        <f t="shared" si="3"/>
        <v>0</v>
      </c>
      <c r="K44" s="546"/>
      <c r="L44" s="546"/>
      <c r="M44" s="547" t="s">
        <v>228</v>
      </c>
      <c r="N44" s="547" t="s">
        <v>228</v>
      </c>
      <c r="O44" s="548"/>
      <c r="P44" s="549"/>
      <c r="Q44" s="550"/>
      <c r="R44" s="550"/>
      <c r="S44" s="549"/>
      <c r="T44" s="550"/>
      <c r="U44" s="550"/>
      <c r="V44" s="549"/>
      <c r="W44" s="550"/>
      <c r="X44" s="550"/>
      <c r="Y44" s="549"/>
      <c r="Z44" s="550"/>
      <c r="AA44" s="550"/>
      <c r="AB44" s="549"/>
      <c r="AC44" s="550"/>
      <c r="AD44" s="550"/>
      <c r="AE44" s="549"/>
      <c r="AF44" s="550"/>
      <c r="AG44" s="550"/>
      <c r="AH44" s="549"/>
      <c r="AI44" s="550"/>
      <c r="AJ44" s="550"/>
      <c r="AK44" s="549"/>
      <c r="AL44" s="550"/>
      <c r="AM44" s="550"/>
      <c r="AN44" s="549"/>
      <c r="AO44" s="550"/>
      <c r="AP44" s="550"/>
      <c r="AQ44" s="549"/>
      <c r="AR44" s="550"/>
      <c r="AS44" s="550"/>
      <c r="AT44" s="549"/>
      <c r="AU44" s="550"/>
      <c r="AV44" s="550"/>
      <c r="AW44" s="549"/>
      <c r="AX44" s="550"/>
      <c r="AY44" s="550"/>
      <c r="AZ44" s="549"/>
      <c r="BA44" s="550"/>
      <c r="BB44" s="550"/>
      <c r="BC44" s="550"/>
    </row>
    <row r="45" spans="1:55">
      <c r="A45" s="531" t="str">
        <f t="shared" si="4"/>
        <v>CP</v>
      </c>
      <c r="B45" s="50" t="str">
        <f t="shared" si="5"/>
        <v>Div12</v>
      </c>
      <c r="C45" s="50" t="s">
        <v>258</v>
      </c>
      <c r="D45" s="532" t="s">
        <v>127</v>
      </c>
      <c r="E45" s="50" t="s">
        <v>52</v>
      </c>
      <c r="F45" s="535" t="str">
        <f>R.6AQImpName1</f>
        <v xml:space="preserve"> </v>
      </c>
      <c r="G45" s="543">
        <f>R.6AQImpHrs1</f>
        <v>0</v>
      </c>
      <c r="H45" s="544">
        <f>Table3[[#This Row],[Hrs Rank]]</f>
        <v>0</v>
      </c>
      <c r="I45" s="534">
        <f t="shared" si="2"/>
        <v>0</v>
      </c>
      <c r="J45" s="534">
        <f t="shared" si="3"/>
        <v>0</v>
      </c>
      <c r="K45" s="546"/>
      <c r="L45" s="546"/>
      <c r="M45" s="547" t="s">
        <v>228</v>
      </c>
      <c r="N45" s="547" t="s">
        <v>228</v>
      </c>
      <c r="O45" s="548"/>
      <c r="P45" s="549"/>
      <c r="Q45" s="550"/>
      <c r="R45" s="550"/>
      <c r="S45" s="549"/>
      <c r="T45" s="550"/>
      <c r="U45" s="550"/>
      <c r="V45" s="549"/>
      <c r="W45" s="550"/>
      <c r="X45" s="550"/>
      <c r="Y45" s="549"/>
      <c r="Z45" s="550"/>
      <c r="AA45" s="550"/>
      <c r="AB45" s="549"/>
      <c r="AC45" s="550"/>
      <c r="AD45" s="550"/>
      <c r="AE45" s="549"/>
      <c r="AF45" s="550"/>
      <c r="AG45" s="550"/>
      <c r="AH45" s="549"/>
      <c r="AI45" s="550"/>
      <c r="AJ45" s="550"/>
      <c r="AK45" s="549"/>
      <c r="AL45" s="550"/>
      <c r="AM45" s="550"/>
      <c r="AN45" s="549"/>
      <c r="AO45" s="550"/>
      <c r="AP45" s="550"/>
      <c r="AQ45" s="549"/>
      <c r="AR45" s="550"/>
      <c r="AS45" s="550"/>
      <c r="AT45" s="549"/>
      <c r="AU45" s="550"/>
      <c r="AV45" s="550"/>
      <c r="AW45" s="549"/>
      <c r="AX45" s="550"/>
      <c r="AY45" s="550"/>
      <c r="AZ45" s="549"/>
      <c r="BA45" s="550"/>
      <c r="BB45" s="550"/>
      <c r="BC45" s="550"/>
    </row>
    <row r="46" spans="1:55">
      <c r="A46" s="531" t="str">
        <f t="shared" si="4"/>
        <v>CP</v>
      </c>
      <c r="B46" s="50" t="str">
        <f t="shared" si="5"/>
        <v>Div12</v>
      </c>
      <c r="C46" s="50" t="s">
        <v>258</v>
      </c>
      <c r="D46" s="532" t="s">
        <v>127</v>
      </c>
      <c r="E46" s="50" t="s">
        <v>52</v>
      </c>
      <c r="F46" s="535" t="str">
        <f>R.6AQImpName2</f>
        <v xml:space="preserve"> </v>
      </c>
      <c r="G46" s="543">
        <f>R.6AQImpHrs2</f>
        <v>0</v>
      </c>
      <c r="H46" s="544">
        <f>Table3[[#This Row],[Hrs Rank]]</f>
        <v>0</v>
      </c>
      <c r="I46" s="534">
        <f t="shared" si="2"/>
        <v>0</v>
      </c>
      <c r="J46" s="534">
        <f t="shared" si="3"/>
        <v>0</v>
      </c>
      <c r="K46" s="546"/>
      <c r="L46" s="546"/>
      <c r="M46" s="547" t="s">
        <v>228</v>
      </c>
      <c r="N46" s="547" t="s">
        <v>228</v>
      </c>
      <c r="O46" s="548"/>
      <c r="P46" s="549"/>
      <c r="Q46" s="550"/>
      <c r="R46" s="550"/>
      <c r="S46" s="549"/>
      <c r="T46" s="550"/>
      <c r="U46" s="550"/>
      <c r="V46" s="549"/>
      <c r="W46" s="550"/>
      <c r="X46" s="550"/>
      <c r="Y46" s="549"/>
      <c r="Z46" s="550"/>
      <c r="AA46" s="550"/>
      <c r="AB46" s="549"/>
      <c r="AC46" s="550"/>
      <c r="AD46" s="550"/>
      <c r="AE46" s="549"/>
      <c r="AF46" s="550"/>
      <c r="AG46" s="550"/>
      <c r="AH46" s="549"/>
      <c r="AI46" s="550"/>
      <c r="AJ46" s="550"/>
      <c r="AK46" s="549"/>
      <c r="AL46" s="550"/>
      <c r="AM46" s="550"/>
      <c r="AN46" s="549"/>
      <c r="AO46" s="550"/>
      <c r="AP46" s="550"/>
      <c r="AQ46" s="549"/>
      <c r="AR46" s="550"/>
      <c r="AS46" s="550"/>
      <c r="AT46" s="549"/>
      <c r="AU46" s="550"/>
      <c r="AV46" s="550"/>
      <c r="AW46" s="549"/>
      <c r="AX46" s="550"/>
      <c r="AY46" s="550"/>
      <c r="AZ46" s="549"/>
      <c r="BA46" s="550"/>
      <c r="BB46" s="550"/>
      <c r="BC46" s="550"/>
    </row>
    <row r="47" spans="1:55">
      <c r="A47" s="531" t="str">
        <f t="shared" si="4"/>
        <v>CP</v>
      </c>
      <c r="B47" s="50" t="str">
        <f t="shared" si="5"/>
        <v>Div12</v>
      </c>
      <c r="C47" s="50" t="s">
        <v>258</v>
      </c>
      <c r="D47" s="532" t="s">
        <v>127</v>
      </c>
      <c r="E47" s="50" t="s">
        <v>52</v>
      </c>
      <c r="F47" s="535" t="str">
        <f>R.6AQImpName3</f>
        <v xml:space="preserve"> </v>
      </c>
      <c r="G47" s="543">
        <f>R.6AQImpHrs3</f>
        <v>0</v>
      </c>
      <c r="H47" s="544">
        <f>Table3[[#This Row],[Hrs Rank]]</f>
        <v>0</v>
      </c>
      <c r="I47" s="534">
        <f t="shared" si="2"/>
        <v>0</v>
      </c>
      <c r="J47" s="534">
        <f t="shared" si="3"/>
        <v>0</v>
      </c>
      <c r="K47" s="546"/>
      <c r="L47" s="546"/>
      <c r="M47" s="547" t="s">
        <v>228</v>
      </c>
      <c r="N47" s="547" t="s">
        <v>228</v>
      </c>
      <c r="O47" s="548"/>
      <c r="P47" s="549"/>
      <c r="Q47" s="550"/>
      <c r="R47" s="550"/>
      <c r="S47" s="549"/>
      <c r="T47" s="550"/>
      <c r="U47" s="550"/>
      <c r="V47" s="549"/>
      <c r="W47" s="550"/>
      <c r="X47" s="550"/>
      <c r="Y47" s="549"/>
      <c r="Z47" s="550"/>
      <c r="AA47" s="550"/>
      <c r="AB47" s="549"/>
      <c r="AC47" s="550"/>
      <c r="AD47" s="550"/>
      <c r="AE47" s="549"/>
      <c r="AF47" s="550"/>
      <c r="AG47" s="550"/>
      <c r="AH47" s="549"/>
      <c r="AI47" s="550"/>
      <c r="AJ47" s="550"/>
      <c r="AK47" s="549"/>
      <c r="AL47" s="550"/>
      <c r="AM47" s="550"/>
      <c r="AN47" s="549"/>
      <c r="AO47" s="550"/>
      <c r="AP47" s="550"/>
      <c r="AQ47" s="549"/>
      <c r="AR47" s="550"/>
      <c r="AS47" s="550"/>
      <c r="AT47" s="549"/>
      <c r="AU47" s="550"/>
      <c r="AV47" s="550"/>
      <c r="AW47" s="549"/>
      <c r="AX47" s="550"/>
      <c r="AY47" s="550"/>
      <c r="AZ47" s="549"/>
      <c r="BA47" s="550"/>
      <c r="BB47" s="550"/>
      <c r="BC47" s="550"/>
    </row>
    <row r="48" spans="1:55">
      <c r="A48" s="531" t="str">
        <f t="shared" si="4"/>
        <v>CP</v>
      </c>
      <c r="B48" s="50" t="str">
        <f t="shared" si="5"/>
        <v>Div12</v>
      </c>
      <c r="C48" s="50" t="s">
        <v>258</v>
      </c>
      <c r="D48" s="532" t="s">
        <v>127</v>
      </c>
      <c r="E48" s="50" t="s">
        <v>52</v>
      </c>
      <c r="F48" s="535" t="str">
        <f>R.6AQImpName4</f>
        <v xml:space="preserve"> </v>
      </c>
      <c r="G48" s="543">
        <f>R.6AQImpHrs4</f>
        <v>0</v>
      </c>
      <c r="H48" s="544">
        <f>Table3[[#This Row],[Hrs Rank]]</f>
        <v>0</v>
      </c>
      <c r="I48" s="534">
        <f t="shared" si="2"/>
        <v>0</v>
      </c>
      <c r="J48" s="534">
        <f t="shared" si="3"/>
        <v>0</v>
      </c>
      <c r="K48" s="546"/>
      <c r="L48" s="546"/>
      <c r="M48" s="547" t="s">
        <v>228</v>
      </c>
      <c r="N48" s="547" t="s">
        <v>228</v>
      </c>
      <c r="O48" s="548"/>
      <c r="P48" s="549"/>
      <c r="Q48" s="550"/>
      <c r="R48" s="550"/>
      <c r="S48" s="549"/>
      <c r="T48" s="550"/>
      <c r="U48" s="550"/>
      <c r="V48" s="549"/>
      <c r="W48" s="550"/>
      <c r="X48" s="550"/>
      <c r="Y48" s="549"/>
      <c r="Z48" s="550"/>
      <c r="AA48" s="550"/>
      <c r="AB48" s="549"/>
      <c r="AC48" s="550"/>
      <c r="AD48" s="550"/>
      <c r="AE48" s="549"/>
      <c r="AF48" s="550"/>
      <c r="AG48" s="550"/>
      <c r="AH48" s="549"/>
      <c r="AI48" s="550"/>
      <c r="AJ48" s="550"/>
      <c r="AK48" s="549"/>
      <c r="AL48" s="550"/>
      <c r="AM48" s="550"/>
      <c r="AN48" s="549"/>
      <c r="AO48" s="550"/>
      <c r="AP48" s="550"/>
      <c r="AQ48" s="549"/>
      <c r="AR48" s="550"/>
      <c r="AS48" s="550"/>
      <c r="AT48" s="549"/>
      <c r="AU48" s="550"/>
      <c r="AV48" s="550"/>
      <c r="AW48" s="549"/>
      <c r="AX48" s="550"/>
      <c r="AY48" s="550"/>
      <c r="AZ48" s="549"/>
      <c r="BA48" s="550"/>
      <c r="BB48" s="550"/>
      <c r="BC48" s="550"/>
    </row>
    <row r="49" spans="1:55">
      <c r="A49" s="531" t="str">
        <f t="shared" si="4"/>
        <v>CP</v>
      </c>
      <c r="B49" s="50" t="str">
        <f t="shared" si="5"/>
        <v>Div12</v>
      </c>
      <c r="C49" s="50" t="s">
        <v>258</v>
      </c>
      <c r="D49" s="532" t="s">
        <v>210</v>
      </c>
      <c r="E49" s="50" t="s">
        <v>53</v>
      </c>
      <c r="F49" s="535" t="str">
        <f>R.6MSDDevName1</f>
        <v xml:space="preserve"> </v>
      </c>
      <c r="G49" s="543">
        <f>R.6MSDDevHrs1</f>
        <v>0</v>
      </c>
      <c r="H49" s="544">
        <f>Table3[[#This Row],[Hrs Rank]]</f>
        <v>0</v>
      </c>
      <c r="I49" s="534">
        <f t="shared" si="2"/>
        <v>0</v>
      </c>
      <c r="J49" s="534">
        <f t="shared" si="3"/>
        <v>0</v>
      </c>
      <c r="K49" s="546"/>
      <c r="L49" s="546"/>
      <c r="M49" s="547" t="s">
        <v>228</v>
      </c>
      <c r="N49" s="547" t="s">
        <v>228</v>
      </c>
      <c r="O49" s="548"/>
      <c r="P49" s="549"/>
      <c r="Q49" s="550"/>
      <c r="R49" s="550"/>
      <c r="S49" s="549"/>
      <c r="T49" s="550"/>
      <c r="U49" s="550"/>
      <c r="V49" s="549"/>
      <c r="W49" s="550"/>
      <c r="X49" s="550"/>
      <c r="Y49" s="549"/>
      <c r="Z49" s="550"/>
      <c r="AA49" s="550"/>
      <c r="AB49" s="549"/>
      <c r="AC49" s="550"/>
      <c r="AD49" s="550"/>
      <c r="AE49" s="549"/>
      <c r="AF49" s="550"/>
      <c r="AG49" s="550"/>
      <c r="AH49" s="549"/>
      <c r="AI49" s="550"/>
      <c r="AJ49" s="550"/>
      <c r="AK49" s="549"/>
      <c r="AL49" s="550"/>
      <c r="AM49" s="550"/>
      <c r="AN49" s="549"/>
      <c r="AO49" s="550"/>
      <c r="AP49" s="550"/>
      <c r="AQ49" s="549"/>
      <c r="AR49" s="550"/>
      <c r="AS49" s="550"/>
      <c r="AT49" s="549"/>
      <c r="AU49" s="550"/>
      <c r="AV49" s="550"/>
      <c r="AW49" s="549"/>
      <c r="AX49" s="550"/>
      <c r="AY49" s="550"/>
      <c r="AZ49" s="549"/>
      <c r="BA49" s="550"/>
      <c r="BB49" s="550"/>
      <c r="BC49" s="550"/>
    </row>
    <row r="50" spans="1:55">
      <c r="A50" s="531" t="str">
        <f t="shared" si="4"/>
        <v>CP</v>
      </c>
      <c r="B50" s="50" t="str">
        <f t="shared" si="5"/>
        <v>Div12</v>
      </c>
      <c r="C50" s="50" t="s">
        <v>258</v>
      </c>
      <c r="D50" s="532" t="s">
        <v>210</v>
      </c>
      <c r="E50" s="50" t="s">
        <v>53</v>
      </c>
      <c r="F50" s="535" t="str">
        <f>R.6MSDDevName2</f>
        <v xml:space="preserve"> </v>
      </c>
      <c r="G50" s="543">
        <f>R.6MSDDevHrs2</f>
        <v>0</v>
      </c>
      <c r="H50" s="544">
        <f>Table3[[#This Row],[Hrs Rank]]</f>
        <v>0</v>
      </c>
      <c r="I50" s="534">
        <f t="shared" si="2"/>
        <v>0</v>
      </c>
      <c r="J50" s="534">
        <f t="shared" si="3"/>
        <v>0</v>
      </c>
      <c r="K50" s="546"/>
      <c r="L50" s="546"/>
      <c r="M50" s="547" t="s">
        <v>228</v>
      </c>
      <c r="N50" s="547" t="s">
        <v>228</v>
      </c>
      <c r="O50" s="548"/>
      <c r="P50" s="549"/>
      <c r="Q50" s="550"/>
      <c r="R50" s="550"/>
      <c r="S50" s="549"/>
      <c r="T50" s="550"/>
      <c r="U50" s="550"/>
      <c r="V50" s="549"/>
      <c r="W50" s="550"/>
      <c r="X50" s="550"/>
      <c r="Y50" s="549"/>
      <c r="Z50" s="550"/>
      <c r="AA50" s="550"/>
      <c r="AB50" s="549"/>
      <c r="AC50" s="550"/>
      <c r="AD50" s="550"/>
      <c r="AE50" s="549"/>
      <c r="AF50" s="550"/>
      <c r="AG50" s="550"/>
      <c r="AH50" s="549"/>
      <c r="AI50" s="550"/>
      <c r="AJ50" s="550"/>
      <c r="AK50" s="549"/>
      <c r="AL50" s="550"/>
      <c r="AM50" s="550"/>
      <c r="AN50" s="549"/>
      <c r="AO50" s="550"/>
      <c r="AP50" s="550"/>
      <c r="AQ50" s="549"/>
      <c r="AR50" s="550"/>
      <c r="AS50" s="550"/>
      <c r="AT50" s="549"/>
      <c r="AU50" s="550"/>
      <c r="AV50" s="550"/>
      <c r="AW50" s="549"/>
      <c r="AX50" s="550"/>
      <c r="AY50" s="550"/>
      <c r="AZ50" s="549"/>
      <c r="BA50" s="550"/>
      <c r="BB50" s="550"/>
      <c r="BC50" s="550"/>
    </row>
    <row r="51" spans="1:55">
      <c r="A51" s="531" t="str">
        <f t="shared" si="4"/>
        <v>CP</v>
      </c>
      <c r="B51" s="50" t="str">
        <f t="shared" si="5"/>
        <v>Div12</v>
      </c>
      <c r="C51" s="50" t="s">
        <v>258</v>
      </c>
      <c r="D51" s="532" t="s">
        <v>210</v>
      </c>
      <c r="E51" s="50" t="s">
        <v>53</v>
      </c>
      <c r="F51" s="535" t="str">
        <f>R.6MSDDevName3</f>
        <v xml:space="preserve"> </v>
      </c>
      <c r="G51" s="543">
        <f>R.6MSDDevHrs3</f>
        <v>0</v>
      </c>
      <c r="H51" s="544">
        <f>Table3[[#This Row],[Hrs Rank]]</f>
        <v>0</v>
      </c>
      <c r="I51" s="534">
        <f t="shared" si="2"/>
        <v>0</v>
      </c>
      <c r="J51" s="534">
        <f t="shared" si="3"/>
        <v>0</v>
      </c>
      <c r="K51" s="546"/>
      <c r="L51" s="546"/>
      <c r="M51" s="547" t="s">
        <v>228</v>
      </c>
      <c r="N51" s="547" t="s">
        <v>228</v>
      </c>
      <c r="O51" s="548"/>
      <c r="P51" s="549"/>
      <c r="Q51" s="550"/>
      <c r="R51" s="550"/>
      <c r="S51" s="549"/>
      <c r="T51" s="550"/>
      <c r="U51" s="550"/>
      <c r="V51" s="549"/>
      <c r="W51" s="550"/>
      <c r="X51" s="550"/>
      <c r="Y51" s="549"/>
      <c r="Z51" s="550"/>
      <c r="AA51" s="550"/>
      <c r="AB51" s="549"/>
      <c r="AC51" s="550"/>
      <c r="AD51" s="550"/>
      <c r="AE51" s="549"/>
      <c r="AF51" s="550"/>
      <c r="AG51" s="550"/>
      <c r="AH51" s="549"/>
      <c r="AI51" s="550"/>
      <c r="AJ51" s="550"/>
      <c r="AK51" s="549"/>
      <c r="AL51" s="550"/>
      <c r="AM51" s="550"/>
      <c r="AN51" s="549"/>
      <c r="AO51" s="550"/>
      <c r="AP51" s="550"/>
      <c r="AQ51" s="549"/>
      <c r="AR51" s="550"/>
      <c r="AS51" s="550"/>
      <c r="AT51" s="549"/>
      <c r="AU51" s="550"/>
      <c r="AV51" s="550"/>
      <c r="AW51" s="549"/>
      <c r="AX51" s="550"/>
      <c r="AY51" s="550"/>
      <c r="AZ51" s="549"/>
      <c r="BA51" s="550"/>
      <c r="BB51" s="550"/>
      <c r="BC51" s="550"/>
    </row>
    <row r="52" spans="1:55">
      <c r="A52" s="531" t="str">
        <f t="shared" si="4"/>
        <v>CP</v>
      </c>
      <c r="B52" s="50" t="str">
        <f t="shared" si="5"/>
        <v>Div12</v>
      </c>
      <c r="C52" s="50" t="s">
        <v>258</v>
      </c>
      <c r="D52" s="532" t="s">
        <v>210</v>
      </c>
      <c r="E52" s="50" t="s">
        <v>53</v>
      </c>
      <c r="F52" s="535" t="str">
        <f>R.6MSDDevName4</f>
        <v xml:space="preserve"> </v>
      </c>
      <c r="G52" s="543">
        <f>R.6MSDDevHrs4</f>
        <v>0</v>
      </c>
      <c r="H52" s="544">
        <f>Table3[[#This Row],[Hrs Rank]]</f>
        <v>0</v>
      </c>
      <c r="I52" s="534">
        <f t="shared" si="2"/>
        <v>0</v>
      </c>
      <c r="J52" s="534">
        <f t="shared" si="3"/>
        <v>0</v>
      </c>
      <c r="K52" s="546"/>
      <c r="L52" s="546"/>
      <c r="M52" s="547" t="s">
        <v>228</v>
      </c>
      <c r="N52" s="547" t="s">
        <v>228</v>
      </c>
      <c r="O52" s="548"/>
      <c r="P52" s="549"/>
      <c r="Q52" s="550"/>
      <c r="R52" s="550"/>
      <c r="S52" s="549"/>
      <c r="T52" s="550"/>
      <c r="U52" s="550"/>
      <c r="V52" s="549"/>
      <c r="W52" s="550"/>
      <c r="X52" s="550"/>
      <c r="Y52" s="549"/>
      <c r="Z52" s="550"/>
      <c r="AA52" s="550"/>
      <c r="AB52" s="549"/>
      <c r="AC52" s="550"/>
      <c r="AD52" s="550"/>
      <c r="AE52" s="549"/>
      <c r="AF52" s="550"/>
      <c r="AG52" s="550"/>
      <c r="AH52" s="549"/>
      <c r="AI52" s="550"/>
      <c r="AJ52" s="550"/>
      <c r="AK52" s="549"/>
      <c r="AL52" s="550"/>
      <c r="AM52" s="550"/>
      <c r="AN52" s="549"/>
      <c r="AO52" s="550"/>
      <c r="AP52" s="550"/>
      <c r="AQ52" s="549"/>
      <c r="AR52" s="550"/>
      <c r="AS52" s="550"/>
      <c r="AT52" s="549"/>
      <c r="AU52" s="550"/>
      <c r="AV52" s="550"/>
      <c r="AW52" s="549"/>
      <c r="AX52" s="550"/>
      <c r="AY52" s="550"/>
      <c r="AZ52" s="549"/>
      <c r="BA52" s="550"/>
      <c r="BB52" s="550"/>
      <c r="BC52" s="550"/>
    </row>
    <row r="53" spans="1:55">
      <c r="A53" s="531" t="str">
        <f t="shared" si="4"/>
        <v>CP</v>
      </c>
      <c r="B53" s="50" t="str">
        <f t="shared" si="5"/>
        <v>Div12</v>
      </c>
      <c r="C53" s="50" t="s">
        <v>258</v>
      </c>
      <c r="D53" s="532" t="s">
        <v>210</v>
      </c>
      <c r="E53" s="50" t="s">
        <v>52</v>
      </c>
      <c r="F53" s="535" t="str">
        <f>R.6MSDImpName1</f>
        <v xml:space="preserve"> </v>
      </c>
      <c r="G53" s="543">
        <f>R.6MSDImpHrs1</f>
        <v>0</v>
      </c>
      <c r="H53" s="544">
        <f>Table3[[#This Row],[Hrs Rank]]</f>
        <v>0</v>
      </c>
      <c r="I53" s="534">
        <f t="shared" si="2"/>
        <v>0</v>
      </c>
      <c r="J53" s="534">
        <f t="shared" si="3"/>
        <v>0</v>
      </c>
      <c r="K53" s="546"/>
      <c r="L53" s="546"/>
      <c r="M53" s="547" t="s">
        <v>228</v>
      </c>
      <c r="N53" s="547" t="s">
        <v>228</v>
      </c>
      <c r="O53" s="548"/>
      <c r="P53" s="549"/>
      <c r="Q53" s="550"/>
      <c r="R53" s="550"/>
      <c r="S53" s="549"/>
      <c r="T53" s="550"/>
      <c r="U53" s="550"/>
      <c r="V53" s="549"/>
      <c r="W53" s="550"/>
      <c r="X53" s="550"/>
      <c r="Y53" s="549"/>
      <c r="Z53" s="550"/>
      <c r="AA53" s="550"/>
      <c r="AB53" s="549"/>
      <c r="AC53" s="550"/>
      <c r="AD53" s="550"/>
      <c r="AE53" s="549"/>
      <c r="AF53" s="550"/>
      <c r="AG53" s="550"/>
      <c r="AH53" s="549"/>
      <c r="AI53" s="550"/>
      <c r="AJ53" s="550"/>
      <c r="AK53" s="549"/>
      <c r="AL53" s="550"/>
      <c r="AM53" s="550"/>
      <c r="AN53" s="549"/>
      <c r="AO53" s="550"/>
      <c r="AP53" s="550"/>
      <c r="AQ53" s="549"/>
      <c r="AR53" s="550"/>
      <c r="AS53" s="550"/>
      <c r="AT53" s="549"/>
      <c r="AU53" s="550"/>
      <c r="AV53" s="550"/>
      <c r="AW53" s="549"/>
      <c r="AX53" s="550"/>
      <c r="AY53" s="550"/>
      <c r="AZ53" s="549"/>
      <c r="BA53" s="550"/>
      <c r="BB53" s="550"/>
      <c r="BC53" s="550"/>
    </row>
    <row r="54" spans="1:55">
      <c r="A54" s="531" t="str">
        <f t="shared" si="4"/>
        <v>CP</v>
      </c>
      <c r="B54" s="50" t="str">
        <f t="shared" si="5"/>
        <v>Div12</v>
      </c>
      <c r="C54" s="50" t="s">
        <v>258</v>
      </c>
      <c r="D54" s="532" t="s">
        <v>210</v>
      </c>
      <c r="E54" s="50" t="s">
        <v>52</v>
      </c>
      <c r="F54" s="535" t="str">
        <f>R.6MSDImpName2</f>
        <v xml:space="preserve"> </v>
      </c>
      <c r="G54" s="543">
        <f>R.6MSDImpHrs2</f>
        <v>0</v>
      </c>
      <c r="H54" s="544">
        <f>Table3[[#This Row],[Hrs Rank]]</f>
        <v>0</v>
      </c>
      <c r="I54" s="534">
        <f t="shared" si="2"/>
        <v>0</v>
      </c>
      <c r="J54" s="534">
        <f t="shared" si="3"/>
        <v>0</v>
      </c>
      <c r="K54" s="546"/>
      <c r="L54" s="546"/>
      <c r="M54" s="547" t="s">
        <v>228</v>
      </c>
      <c r="N54" s="547" t="s">
        <v>228</v>
      </c>
      <c r="O54" s="548"/>
      <c r="P54" s="549"/>
      <c r="Q54" s="550"/>
      <c r="R54" s="550"/>
      <c r="S54" s="549"/>
      <c r="T54" s="550"/>
      <c r="U54" s="550"/>
      <c r="V54" s="549"/>
      <c r="W54" s="550"/>
      <c r="X54" s="550"/>
      <c r="Y54" s="549"/>
      <c r="Z54" s="550"/>
      <c r="AA54" s="550"/>
      <c r="AB54" s="549"/>
      <c r="AC54" s="550"/>
      <c r="AD54" s="550"/>
      <c r="AE54" s="549"/>
      <c r="AF54" s="550"/>
      <c r="AG54" s="550"/>
      <c r="AH54" s="549"/>
      <c r="AI54" s="550"/>
      <c r="AJ54" s="550"/>
      <c r="AK54" s="549"/>
      <c r="AL54" s="550"/>
      <c r="AM54" s="550"/>
      <c r="AN54" s="549"/>
      <c r="AO54" s="550"/>
      <c r="AP54" s="550"/>
      <c r="AQ54" s="549"/>
      <c r="AR54" s="550"/>
      <c r="AS54" s="550"/>
      <c r="AT54" s="549"/>
      <c r="AU54" s="550"/>
      <c r="AV54" s="550"/>
      <c r="AW54" s="549"/>
      <c r="AX54" s="550"/>
      <c r="AY54" s="550"/>
      <c r="AZ54" s="549"/>
      <c r="BA54" s="550"/>
      <c r="BB54" s="550"/>
      <c r="BC54" s="550"/>
    </row>
    <row r="55" spans="1:55">
      <c r="A55" s="531" t="str">
        <f t="shared" si="4"/>
        <v>CP</v>
      </c>
      <c r="B55" s="50" t="str">
        <f t="shared" si="5"/>
        <v>Div12</v>
      </c>
      <c r="C55" s="50" t="s">
        <v>258</v>
      </c>
      <c r="D55" s="532" t="s">
        <v>210</v>
      </c>
      <c r="E55" s="50" t="s">
        <v>52</v>
      </c>
      <c r="F55" s="535" t="str">
        <f>R.6MSDImpName3</f>
        <v xml:space="preserve"> </v>
      </c>
      <c r="G55" s="543">
        <f>R.6MSDImpHrs3</f>
        <v>0</v>
      </c>
      <c r="H55" s="544">
        <f>Table3[[#This Row],[Hrs Rank]]</f>
        <v>0</v>
      </c>
      <c r="I55" s="534">
        <f t="shared" si="2"/>
        <v>0</v>
      </c>
      <c r="J55" s="534">
        <f t="shared" si="3"/>
        <v>0</v>
      </c>
      <c r="K55" s="546"/>
      <c r="L55" s="546"/>
      <c r="M55" s="547" t="s">
        <v>228</v>
      </c>
      <c r="N55" s="547" t="s">
        <v>228</v>
      </c>
      <c r="O55" s="548"/>
      <c r="P55" s="549"/>
      <c r="Q55" s="550"/>
      <c r="R55" s="550"/>
      <c r="S55" s="549"/>
      <c r="T55" s="550"/>
      <c r="U55" s="550"/>
      <c r="V55" s="549"/>
      <c r="W55" s="550"/>
      <c r="X55" s="550"/>
      <c r="Y55" s="549"/>
      <c r="Z55" s="550"/>
      <c r="AA55" s="550"/>
      <c r="AB55" s="549"/>
      <c r="AC55" s="550"/>
      <c r="AD55" s="550"/>
      <c r="AE55" s="549"/>
      <c r="AF55" s="550"/>
      <c r="AG55" s="550"/>
      <c r="AH55" s="549"/>
      <c r="AI55" s="550"/>
      <c r="AJ55" s="550"/>
      <c r="AK55" s="549"/>
      <c r="AL55" s="550"/>
      <c r="AM55" s="550"/>
      <c r="AN55" s="549"/>
      <c r="AO55" s="550"/>
      <c r="AP55" s="550"/>
      <c r="AQ55" s="549"/>
      <c r="AR55" s="550"/>
      <c r="AS55" s="550"/>
      <c r="AT55" s="549"/>
      <c r="AU55" s="550"/>
      <c r="AV55" s="550"/>
      <c r="AW55" s="549"/>
      <c r="AX55" s="550"/>
      <c r="AY55" s="550"/>
      <c r="AZ55" s="549"/>
      <c r="BA55" s="550"/>
      <c r="BB55" s="550"/>
      <c r="BC55" s="550"/>
    </row>
    <row r="56" spans="1:55">
      <c r="A56" s="531" t="str">
        <f t="shared" si="4"/>
        <v>CP</v>
      </c>
      <c r="B56" s="50" t="str">
        <f t="shared" si="5"/>
        <v>Div12</v>
      </c>
      <c r="C56" s="50" t="s">
        <v>258</v>
      </c>
      <c r="D56" s="532" t="s">
        <v>210</v>
      </c>
      <c r="E56" s="50" t="s">
        <v>52</v>
      </c>
      <c r="F56" s="535" t="str">
        <f>R.6MSDImpName4</f>
        <v xml:space="preserve"> </v>
      </c>
      <c r="G56" s="543">
        <f>R.6MSDImpHrs4</f>
        <v>0</v>
      </c>
      <c r="H56" s="544">
        <f>Table3[[#This Row],[Hrs Rank]]</f>
        <v>0</v>
      </c>
      <c r="I56" s="534">
        <f t="shared" si="2"/>
        <v>0</v>
      </c>
      <c r="J56" s="534">
        <f t="shared" si="3"/>
        <v>0</v>
      </c>
      <c r="K56" s="546"/>
      <c r="L56" s="546"/>
      <c r="M56" s="547" t="s">
        <v>228</v>
      </c>
      <c r="N56" s="547" t="s">
        <v>228</v>
      </c>
      <c r="O56" s="548"/>
      <c r="P56" s="549"/>
      <c r="Q56" s="550"/>
      <c r="R56" s="550"/>
      <c r="S56" s="549"/>
      <c r="T56" s="550"/>
      <c r="U56" s="550"/>
      <c r="V56" s="549"/>
      <c r="W56" s="550"/>
      <c r="X56" s="550"/>
      <c r="Y56" s="549"/>
      <c r="Z56" s="550"/>
      <c r="AA56" s="550"/>
      <c r="AB56" s="549"/>
      <c r="AC56" s="550"/>
      <c r="AD56" s="550"/>
      <c r="AE56" s="549"/>
      <c r="AF56" s="550"/>
      <c r="AG56" s="550"/>
      <c r="AH56" s="549"/>
      <c r="AI56" s="550"/>
      <c r="AJ56" s="550"/>
      <c r="AK56" s="549"/>
      <c r="AL56" s="550"/>
      <c r="AM56" s="550"/>
      <c r="AN56" s="549"/>
      <c r="AO56" s="550"/>
      <c r="AP56" s="550"/>
      <c r="AQ56" s="549"/>
      <c r="AR56" s="550"/>
      <c r="AS56" s="550"/>
      <c r="AT56" s="549"/>
      <c r="AU56" s="550"/>
      <c r="AV56" s="550"/>
      <c r="AW56" s="549"/>
      <c r="AX56" s="550"/>
      <c r="AY56" s="550"/>
      <c r="AZ56" s="549"/>
      <c r="BA56" s="550"/>
      <c r="BB56" s="550"/>
      <c r="BC56" s="550"/>
    </row>
    <row r="57" spans="1:55">
      <c r="A57" s="531" t="str">
        <f t="shared" si="4"/>
        <v>CP</v>
      </c>
      <c r="B57" s="50" t="str">
        <f t="shared" si="5"/>
        <v>Div12</v>
      </c>
      <c r="C57" s="50" t="s">
        <v>259</v>
      </c>
      <c r="D57" s="532" t="s">
        <v>213</v>
      </c>
      <c r="E57" s="50" t="s">
        <v>53</v>
      </c>
      <c r="F57" s="535" t="str">
        <f>R.7EastDevName1</f>
        <v>Linda Hayes-Gorman</v>
      </c>
      <c r="G57" s="543">
        <f>R.7EastDevHrs1</f>
        <v>1</v>
      </c>
      <c r="H57" s="544">
        <f>Table3[[#This Row],[Hrs Rank]]</f>
        <v>1</v>
      </c>
      <c r="I57" s="534">
        <f t="shared" si="2"/>
        <v>1</v>
      </c>
      <c r="J57" s="534">
        <f t="shared" si="3"/>
        <v>8</v>
      </c>
      <c r="K57" s="546"/>
      <c r="L57" s="546"/>
      <c r="M57" s="547" t="s">
        <v>228</v>
      </c>
      <c r="N57" s="547" t="s">
        <v>228</v>
      </c>
      <c r="O57" s="548"/>
      <c r="P57" s="549"/>
      <c r="Q57" s="550"/>
      <c r="R57" s="550"/>
      <c r="S57" s="549"/>
      <c r="T57" s="550"/>
      <c r="U57" s="550"/>
      <c r="V57" s="549"/>
      <c r="W57" s="550"/>
      <c r="X57" s="550"/>
      <c r="Y57" s="549"/>
      <c r="Z57" s="550"/>
      <c r="AA57" s="550"/>
      <c r="AB57" s="549"/>
      <c r="AC57" s="550"/>
      <c r="AD57" s="550"/>
      <c r="AE57" s="549"/>
      <c r="AF57" s="550"/>
      <c r="AG57" s="550"/>
      <c r="AH57" s="549"/>
      <c r="AI57" s="550"/>
      <c r="AJ57" s="550"/>
      <c r="AK57" s="549"/>
      <c r="AL57" s="550"/>
      <c r="AM57" s="550"/>
      <c r="AN57" s="549"/>
      <c r="AO57" s="550"/>
      <c r="AP57" s="550"/>
      <c r="AQ57" s="549"/>
      <c r="AR57" s="550"/>
      <c r="AS57" s="550"/>
      <c r="AT57" s="549"/>
      <c r="AU57" s="550"/>
      <c r="AV57" s="550"/>
      <c r="AW57" s="549"/>
      <c r="AX57" s="550"/>
      <c r="AY57" s="550"/>
      <c r="AZ57" s="549"/>
      <c r="BA57" s="550"/>
      <c r="BB57" s="550"/>
      <c r="BC57" s="550"/>
    </row>
    <row r="58" spans="1:55">
      <c r="A58" s="531" t="str">
        <f t="shared" si="4"/>
        <v>CP</v>
      </c>
      <c r="B58" s="50" t="str">
        <f t="shared" si="5"/>
        <v>Div12</v>
      </c>
      <c r="C58" s="50" t="s">
        <v>259</v>
      </c>
      <c r="D58" s="532" t="s">
        <v>213</v>
      </c>
      <c r="E58" s="50" t="s">
        <v>53</v>
      </c>
      <c r="F58" s="535" t="str">
        <f>R.7EastDevName2</f>
        <v xml:space="preserve"> </v>
      </c>
      <c r="G58" s="543">
        <f>R.7EastDevHrs2</f>
        <v>0</v>
      </c>
      <c r="H58" s="544">
        <f>Table3[[#This Row],[Hrs Rank]]</f>
        <v>0</v>
      </c>
      <c r="I58" s="534">
        <f t="shared" si="2"/>
        <v>0</v>
      </c>
      <c r="J58" s="534">
        <f t="shared" si="3"/>
        <v>0</v>
      </c>
      <c r="K58" s="546"/>
      <c r="L58" s="546"/>
      <c r="M58" s="547" t="s">
        <v>228</v>
      </c>
      <c r="N58" s="547" t="s">
        <v>228</v>
      </c>
      <c r="O58" s="548"/>
      <c r="P58" s="549"/>
      <c r="Q58" s="550"/>
      <c r="R58" s="550"/>
      <c r="S58" s="549"/>
      <c r="T58" s="550"/>
      <c r="U58" s="550"/>
      <c r="V58" s="549"/>
      <c r="W58" s="550"/>
      <c r="X58" s="550"/>
      <c r="Y58" s="549"/>
      <c r="Z58" s="550"/>
      <c r="AA58" s="550"/>
      <c r="AB58" s="549"/>
      <c r="AC58" s="550"/>
      <c r="AD58" s="550"/>
      <c r="AE58" s="549"/>
      <c r="AF58" s="550"/>
      <c r="AG58" s="550"/>
      <c r="AH58" s="549"/>
      <c r="AI58" s="550"/>
      <c r="AJ58" s="550"/>
      <c r="AK58" s="549"/>
      <c r="AL58" s="550"/>
      <c r="AM58" s="550"/>
      <c r="AN58" s="549"/>
      <c r="AO58" s="550"/>
      <c r="AP58" s="550"/>
      <c r="AQ58" s="549"/>
      <c r="AR58" s="550"/>
      <c r="AS58" s="550"/>
      <c r="AT58" s="549"/>
      <c r="AU58" s="550"/>
      <c r="AV58" s="550"/>
      <c r="AW58" s="549"/>
      <c r="AX58" s="550"/>
      <c r="AY58" s="550"/>
      <c r="AZ58" s="549"/>
      <c r="BA58" s="550"/>
      <c r="BB58" s="550"/>
      <c r="BC58" s="550"/>
    </row>
    <row r="59" spans="1:55">
      <c r="A59" s="531" t="str">
        <f t="shared" si="4"/>
        <v>CP</v>
      </c>
      <c r="B59" s="50" t="str">
        <f t="shared" si="5"/>
        <v>Div12</v>
      </c>
      <c r="C59" s="50" t="s">
        <v>259</v>
      </c>
      <c r="D59" s="532" t="s">
        <v>213</v>
      </c>
      <c r="E59" s="50" t="s">
        <v>53</v>
      </c>
      <c r="F59" s="535" t="str">
        <f>R.7EastDevName3</f>
        <v xml:space="preserve"> </v>
      </c>
      <c r="G59" s="543">
        <f>R.7EastDevHrs3</f>
        <v>0</v>
      </c>
      <c r="H59" s="544">
        <f>Table3[[#This Row],[Hrs Rank]]</f>
        <v>0</v>
      </c>
      <c r="I59" s="534">
        <f t="shared" si="2"/>
        <v>0</v>
      </c>
      <c r="J59" s="534">
        <f t="shared" si="3"/>
        <v>0</v>
      </c>
      <c r="K59" s="546"/>
      <c r="L59" s="546"/>
      <c r="M59" s="547" t="s">
        <v>228</v>
      </c>
      <c r="N59" s="547" t="s">
        <v>228</v>
      </c>
      <c r="O59" s="548"/>
      <c r="P59" s="549"/>
      <c r="Q59" s="550"/>
      <c r="R59" s="550"/>
      <c r="S59" s="549"/>
      <c r="T59" s="550"/>
      <c r="U59" s="550"/>
      <c r="V59" s="549"/>
      <c r="W59" s="550"/>
      <c r="X59" s="550"/>
      <c r="Y59" s="549"/>
      <c r="Z59" s="550"/>
      <c r="AA59" s="550"/>
      <c r="AB59" s="549"/>
      <c r="AC59" s="550"/>
      <c r="AD59" s="550"/>
      <c r="AE59" s="549"/>
      <c r="AF59" s="550"/>
      <c r="AG59" s="550"/>
      <c r="AH59" s="549"/>
      <c r="AI59" s="550"/>
      <c r="AJ59" s="550"/>
      <c r="AK59" s="549"/>
      <c r="AL59" s="550"/>
      <c r="AM59" s="550"/>
      <c r="AN59" s="549"/>
      <c r="AO59" s="550"/>
      <c r="AP59" s="550"/>
      <c r="AQ59" s="549"/>
      <c r="AR59" s="550"/>
      <c r="AS59" s="550"/>
      <c r="AT59" s="549"/>
      <c r="AU59" s="550"/>
      <c r="AV59" s="550"/>
      <c r="AW59" s="549"/>
      <c r="AX59" s="550"/>
      <c r="AY59" s="550"/>
      <c r="AZ59" s="549"/>
      <c r="BA59" s="550"/>
      <c r="BB59" s="550"/>
      <c r="BC59" s="550"/>
    </row>
    <row r="60" spans="1:55">
      <c r="A60" s="531" t="str">
        <f t="shared" si="4"/>
        <v>CP</v>
      </c>
      <c r="B60" s="50" t="str">
        <f t="shared" si="5"/>
        <v>Div12</v>
      </c>
      <c r="C60" s="50" t="s">
        <v>259</v>
      </c>
      <c r="D60" s="532" t="s">
        <v>213</v>
      </c>
      <c r="E60" s="50" t="s">
        <v>53</v>
      </c>
      <c r="F60" s="535">
        <f>R.7EastDevName4</f>
        <v>0</v>
      </c>
      <c r="G60" s="543">
        <f>R.7EastDevHrs4</f>
        <v>0</v>
      </c>
      <c r="H60" s="544">
        <f>Table3[[#This Row],[Hrs Rank]]</f>
        <v>0</v>
      </c>
      <c r="I60" s="534">
        <f t="shared" si="2"/>
        <v>0</v>
      </c>
      <c r="J60" s="534">
        <f t="shared" si="3"/>
        <v>0</v>
      </c>
      <c r="K60" s="546"/>
      <c r="L60" s="546"/>
      <c r="M60" s="547" t="s">
        <v>228</v>
      </c>
      <c r="N60" s="547" t="s">
        <v>228</v>
      </c>
      <c r="O60" s="548"/>
      <c r="P60" s="549"/>
      <c r="Q60" s="550"/>
      <c r="R60" s="550"/>
      <c r="S60" s="549"/>
      <c r="T60" s="550"/>
      <c r="U60" s="550"/>
      <c r="V60" s="549"/>
      <c r="W60" s="550"/>
      <c r="X60" s="550"/>
      <c r="Y60" s="549"/>
      <c r="Z60" s="550"/>
      <c r="AA60" s="550"/>
      <c r="AB60" s="549"/>
      <c r="AC60" s="550"/>
      <c r="AD60" s="550"/>
      <c r="AE60" s="549"/>
      <c r="AF60" s="550"/>
      <c r="AG60" s="550"/>
      <c r="AH60" s="549"/>
      <c r="AI60" s="550"/>
      <c r="AJ60" s="550"/>
      <c r="AK60" s="549"/>
      <c r="AL60" s="550"/>
      <c r="AM60" s="550"/>
      <c r="AN60" s="549"/>
      <c r="AO60" s="550"/>
      <c r="AP60" s="550"/>
      <c r="AQ60" s="549"/>
      <c r="AR60" s="550"/>
      <c r="AS60" s="550"/>
      <c r="AT60" s="549"/>
      <c r="AU60" s="550"/>
      <c r="AV60" s="550"/>
      <c r="AW60" s="549"/>
      <c r="AX60" s="550"/>
      <c r="AY60" s="550"/>
      <c r="AZ60" s="549"/>
      <c r="BA60" s="550"/>
      <c r="BB60" s="550"/>
      <c r="BC60" s="550"/>
    </row>
    <row r="61" spans="1:55">
      <c r="A61" s="531" t="str">
        <f t="shared" si="4"/>
        <v>CP</v>
      </c>
      <c r="B61" s="50" t="str">
        <f t="shared" si="5"/>
        <v>Div12</v>
      </c>
      <c r="C61" s="50" t="s">
        <v>259</v>
      </c>
      <c r="D61" s="532" t="s">
        <v>213</v>
      </c>
      <c r="E61" s="50" t="s">
        <v>52</v>
      </c>
      <c r="F61" s="535">
        <f>R.7EastImpName1</f>
        <v>0</v>
      </c>
      <c r="G61" s="543">
        <f>R.7EastImpHrs1</f>
        <v>0</v>
      </c>
      <c r="H61" s="544">
        <f>Table3[[#This Row],[Hrs Rank]]</f>
        <v>0</v>
      </c>
      <c r="I61" s="534">
        <f t="shared" si="2"/>
        <v>0</v>
      </c>
      <c r="J61" s="534">
        <f t="shared" si="3"/>
        <v>0</v>
      </c>
      <c r="K61" s="546"/>
      <c r="L61" s="546"/>
      <c r="M61" s="547" t="s">
        <v>228</v>
      </c>
      <c r="N61" s="547" t="s">
        <v>228</v>
      </c>
      <c r="O61" s="548"/>
      <c r="P61" s="549"/>
      <c r="Q61" s="550"/>
      <c r="R61" s="550"/>
      <c r="S61" s="549"/>
      <c r="T61" s="550"/>
      <c r="U61" s="550"/>
      <c r="V61" s="549"/>
      <c r="W61" s="550"/>
      <c r="X61" s="550"/>
      <c r="Y61" s="549"/>
      <c r="Z61" s="550"/>
      <c r="AA61" s="550"/>
      <c r="AB61" s="549"/>
      <c r="AC61" s="550"/>
      <c r="AD61" s="550"/>
      <c r="AE61" s="549"/>
      <c r="AF61" s="550"/>
      <c r="AG61" s="550"/>
      <c r="AH61" s="549"/>
      <c r="AI61" s="550"/>
      <c r="AJ61" s="550"/>
      <c r="AK61" s="549"/>
      <c r="AL61" s="550"/>
      <c r="AM61" s="550"/>
      <c r="AN61" s="549"/>
      <c r="AO61" s="550"/>
      <c r="AP61" s="550"/>
      <c r="AQ61" s="549"/>
      <c r="AR61" s="550"/>
      <c r="AS61" s="550"/>
      <c r="AT61" s="549"/>
      <c r="AU61" s="550"/>
      <c r="AV61" s="550"/>
      <c r="AW61" s="549"/>
      <c r="AX61" s="550"/>
      <c r="AY61" s="550"/>
      <c r="AZ61" s="549"/>
      <c r="BA61" s="550"/>
      <c r="BB61" s="550"/>
      <c r="BC61" s="550"/>
    </row>
    <row r="62" spans="1:55">
      <c r="A62" s="531" t="str">
        <f t="shared" si="4"/>
        <v>CP</v>
      </c>
      <c r="B62" s="50" t="str">
        <f t="shared" si="5"/>
        <v>Div12</v>
      </c>
      <c r="C62" s="50" t="s">
        <v>259</v>
      </c>
      <c r="D62" s="532" t="s">
        <v>213</v>
      </c>
      <c r="E62" s="50" t="s">
        <v>52</v>
      </c>
      <c r="F62" s="535">
        <f>R.7EastImpName2</f>
        <v>0</v>
      </c>
      <c r="G62" s="543">
        <f>R.7EastImpHrs2</f>
        <v>0</v>
      </c>
      <c r="H62" s="544">
        <f>Table3[[#This Row],[Hrs Rank]]</f>
        <v>0</v>
      </c>
      <c r="I62" s="534">
        <f t="shared" si="2"/>
        <v>0</v>
      </c>
      <c r="J62" s="534">
        <f t="shared" si="3"/>
        <v>0</v>
      </c>
      <c r="K62" s="546"/>
      <c r="L62" s="546"/>
      <c r="M62" s="547" t="s">
        <v>228</v>
      </c>
      <c r="N62" s="547" t="s">
        <v>228</v>
      </c>
      <c r="O62" s="548"/>
      <c r="P62" s="549"/>
      <c r="Q62" s="550"/>
      <c r="R62" s="550"/>
      <c r="S62" s="549"/>
      <c r="T62" s="550"/>
      <c r="U62" s="550"/>
      <c r="V62" s="549"/>
      <c r="W62" s="550"/>
      <c r="X62" s="550"/>
      <c r="Y62" s="549"/>
      <c r="Z62" s="550"/>
      <c r="AA62" s="550"/>
      <c r="AB62" s="549"/>
      <c r="AC62" s="550"/>
      <c r="AD62" s="550"/>
      <c r="AE62" s="549"/>
      <c r="AF62" s="550"/>
      <c r="AG62" s="550"/>
      <c r="AH62" s="549"/>
      <c r="AI62" s="550"/>
      <c r="AJ62" s="550"/>
      <c r="AK62" s="549"/>
      <c r="AL62" s="550"/>
      <c r="AM62" s="550"/>
      <c r="AN62" s="549"/>
      <c r="AO62" s="550"/>
      <c r="AP62" s="550"/>
      <c r="AQ62" s="549"/>
      <c r="AR62" s="550"/>
      <c r="AS62" s="550"/>
      <c r="AT62" s="549"/>
      <c r="AU62" s="550"/>
      <c r="AV62" s="550"/>
      <c r="AW62" s="549"/>
      <c r="AX62" s="550"/>
      <c r="AY62" s="550"/>
      <c r="AZ62" s="549"/>
      <c r="BA62" s="550"/>
      <c r="BB62" s="550"/>
      <c r="BC62" s="550"/>
    </row>
    <row r="63" spans="1:55">
      <c r="A63" s="531" t="str">
        <f t="shared" si="4"/>
        <v>CP</v>
      </c>
      <c r="B63" s="50" t="str">
        <f t="shared" si="5"/>
        <v>Div12</v>
      </c>
      <c r="C63" s="50" t="s">
        <v>259</v>
      </c>
      <c r="D63" s="532" t="s">
        <v>213</v>
      </c>
      <c r="E63" s="50" t="s">
        <v>52</v>
      </c>
      <c r="F63" s="535">
        <f>R.7EastImpName3</f>
        <v>0</v>
      </c>
      <c r="G63" s="543">
        <f>R.7EastImpHrs3</f>
        <v>0</v>
      </c>
      <c r="H63" s="544">
        <f>Table3[[#This Row],[Hrs Rank]]</f>
        <v>0</v>
      </c>
      <c r="I63" s="534">
        <f t="shared" si="2"/>
        <v>0</v>
      </c>
      <c r="J63" s="534">
        <f t="shared" si="3"/>
        <v>0</v>
      </c>
      <c r="K63" s="546"/>
      <c r="L63" s="546"/>
      <c r="M63" s="547" t="s">
        <v>228</v>
      </c>
      <c r="N63" s="547" t="s">
        <v>228</v>
      </c>
      <c r="O63" s="548"/>
      <c r="P63" s="549"/>
      <c r="Q63" s="550"/>
      <c r="R63" s="550"/>
      <c r="S63" s="549"/>
      <c r="T63" s="550"/>
      <c r="U63" s="550"/>
      <c r="V63" s="549"/>
      <c r="W63" s="550"/>
      <c r="X63" s="550"/>
      <c r="Y63" s="549"/>
      <c r="Z63" s="550"/>
      <c r="AA63" s="550"/>
      <c r="AB63" s="549"/>
      <c r="AC63" s="550"/>
      <c r="AD63" s="550"/>
      <c r="AE63" s="549"/>
      <c r="AF63" s="550"/>
      <c r="AG63" s="550"/>
      <c r="AH63" s="549"/>
      <c r="AI63" s="550"/>
      <c r="AJ63" s="550"/>
      <c r="AK63" s="549"/>
      <c r="AL63" s="550"/>
      <c r="AM63" s="550"/>
      <c r="AN63" s="549"/>
      <c r="AO63" s="550"/>
      <c r="AP63" s="550"/>
      <c r="AQ63" s="549"/>
      <c r="AR63" s="550"/>
      <c r="AS63" s="550"/>
      <c r="AT63" s="549"/>
      <c r="AU63" s="550"/>
      <c r="AV63" s="550"/>
      <c r="AW63" s="549"/>
      <c r="AX63" s="550"/>
      <c r="AY63" s="550"/>
      <c r="AZ63" s="549"/>
      <c r="BA63" s="550"/>
      <c r="BB63" s="550"/>
      <c r="BC63" s="550"/>
    </row>
    <row r="64" spans="1:55">
      <c r="A64" s="531" t="str">
        <f t="shared" si="4"/>
        <v>CP</v>
      </c>
      <c r="B64" s="50" t="str">
        <f t="shared" si="5"/>
        <v>Div12</v>
      </c>
      <c r="C64" s="50" t="s">
        <v>259</v>
      </c>
      <c r="D64" s="532" t="s">
        <v>213</v>
      </c>
      <c r="E64" s="50" t="s">
        <v>52</v>
      </c>
      <c r="F64" s="535">
        <f>R.7EastImpName4</f>
        <v>0</v>
      </c>
      <c r="G64" s="543">
        <f>R.7EastImpHrs4</f>
        <v>0</v>
      </c>
      <c r="H64" s="544">
        <f>Table3[[#This Row],[Hrs Rank]]</f>
        <v>0</v>
      </c>
      <c r="I64" s="534">
        <f t="shared" si="2"/>
        <v>0</v>
      </c>
      <c r="J64" s="534">
        <f t="shared" si="3"/>
        <v>0</v>
      </c>
      <c r="K64" s="546"/>
      <c r="L64" s="546"/>
      <c r="M64" s="547" t="s">
        <v>228</v>
      </c>
      <c r="N64" s="547" t="s">
        <v>228</v>
      </c>
      <c r="O64" s="548"/>
      <c r="P64" s="549"/>
      <c r="Q64" s="550"/>
      <c r="R64" s="550"/>
      <c r="S64" s="549"/>
      <c r="T64" s="550"/>
      <c r="U64" s="550"/>
      <c r="V64" s="549"/>
      <c r="W64" s="550"/>
      <c r="X64" s="550"/>
      <c r="Y64" s="549"/>
      <c r="Z64" s="550"/>
      <c r="AA64" s="550"/>
      <c r="AB64" s="549"/>
      <c r="AC64" s="550"/>
      <c r="AD64" s="550"/>
      <c r="AE64" s="549"/>
      <c r="AF64" s="550"/>
      <c r="AG64" s="550"/>
      <c r="AH64" s="549"/>
      <c r="AI64" s="550"/>
      <c r="AJ64" s="550"/>
      <c r="AK64" s="549"/>
      <c r="AL64" s="550"/>
      <c r="AM64" s="550"/>
      <c r="AN64" s="549"/>
      <c r="AO64" s="550"/>
      <c r="AP64" s="550"/>
      <c r="AQ64" s="549"/>
      <c r="AR64" s="550"/>
      <c r="AS64" s="550"/>
      <c r="AT64" s="549"/>
      <c r="AU64" s="550"/>
      <c r="AV64" s="550"/>
      <c r="AW64" s="549"/>
      <c r="AX64" s="550"/>
      <c r="AY64" s="550"/>
      <c r="AZ64" s="549"/>
      <c r="BA64" s="550"/>
      <c r="BB64" s="550"/>
      <c r="BC64" s="550"/>
    </row>
    <row r="65" spans="1:55" s="491" customFormat="1">
      <c r="A65" s="531" t="str">
        <f t="shared" si="4"/>
        <v>CP</v>
      </c>
      <c r="B65" s="50" t="str">
        <f t="shared" si="5"/>
        <v>Div12</v>
      </c>
      <c r="C65" s="50" t="s">
        <v>259</v>
      </c>
      <c r="D65" s="532" t="s">
        <v>214</v>
      </c>
      <c r="E65" s="50" t="s">
        <v>53</v>
      </c>
      <c r="F65" s="535" t="str">
        <f>R.7WestDevName1</f>
        <v>Keith Andersen</v>
      </c>
      <c r="G65" s="543">
        <f>R.7WestDevHrs1</f>
        <v>1</v>
      </c>
      <c r="H65" s="544">
        <f>Table3[[#This Row],[Hrs Rank]]</f>
        <v>1</v>
      </c>
      <c r="I65" s="534">
        <f t="shared" si="2"/>
        <v>1</v>
      </c>
      <c r="J65" s="534">
        <f t="shared" si="3"/>
        <v>8</v>
      </c>
      <c r="K65" s="546"/>
      <c r="L65" s="546"/>
      <c r="M65" s="547" t="s">
        <v>228</v>
      </c>
      <c r="N65" s="547" t="s">
        <v>228</v>
      </c>
      <c r="O65" s="548"/>
      <c r="P65" s="549"/>
      <c r="Q65" s="550"/>
      <c r="R65" s="550"/>
      <c r="S65" s="549"/>
      <c r="T65" s="550"/>
      <c r="U65" s="550"/>
      <c r="V65" s="549"/>
      <c r="W65" s="550"/>
      <c r="X65" s="550"/>
      <c r="Y65" s="549"/>
      <c r="Z65" s="550"/>
      <c r="AA65" s="550"/>
      <c r="AB65" s="549"/>
      <c r="AC65" s="550"/>
      <c r="AD65" s="550"/>
      <c r="AE65" s="549"/>
      <c r="AF65" s="550"/>
      <c r="AG65" s="550"/>
      <c r="AH65" s="549"/>
      <c r="AI65" s="550"/>
      <c r="AJ65" s="550"/>
      <c r="AK65" s="549"/>
      <c r="AL65" s="550"/>
      <c r="AM65" s="550"/>
      <c r="AN65" s="549"/>
      <c r="AO65" s="550"/>
      <c r="AP65" s="550"/>
      <c r="AQ65" s="549"/>
      <c r="AR65" s="550"/>
      <c r="AS65" s="550"/>
      <c r="AT65" s="549"/>
      <c r="AU65" s="550"/>
      <c r="AV65" s="550"/>
      <c r="AW65" s="549"/>
      <c r="AX65" s="550"/>
      <c r="AY65" s="550"/>
      <c r="AZ65" s="549"/>
      <c r="BA65" s="550"/>
      <c r="BB65" s="550"/>
      <c r="BC65" s="550"/>
    </row>
    <row r="66" spans="1:55" s="491" customFormat="1">
      <c r="A66" s="531" t="str">
        <f t="shared" si="4"/>
        <v>CP</v>
      </c>
      <c r="B66" s="50" t="str">
        <f t="shared" si="5"/>
        <v>Div12</v>
      </c>
      <c r="C66" s="50" t="s">
        <v>259</v>
      </c>
      <c r="D66" s="532" t="s">
        <v>214</v>
      </c>
      <c r="E66" s="50" t="s">
        <v>53</v>
      </c>
      <c r="F66" s="535">
        <f>R.7WestDevName2</f>
        <v>0</v>
      </c>
      <c r="G66" s="543">
        <f>R.7WestDevHrs2</f>
        <v>0</v>
      </c>
      <c r="H66" s="544">
        <f>Table3[[#This Row],[Hrs Rank]]</f>
        <v>0</v>
      </c>
      <c r="I66" s="534">
        <f t="shared" si="2"/>
        <v>0</v>
      </c>
      <c r="J66" s="534">
        <f t="shared" si="3"/>
        <v>0</v>
      </c>
      <c r="K66" s="546"/>
      <c r="L66" s="546"/>
      <c r="M66" s="547" t="s">
        <v>228</v>
      </c>
      <c r="N66" s="547" t="s">
        <v>228</v>
      </c>
      <c r="O66" s="548"/>
      <c r="P66" s="549"/>
      <c r="Q66" s="550"/>
      <c r="R66" s="550"/>
      <c r="S66" s="549"/>
      <c r="T66" s="550"/>
      <c r="U66" s="550"/>
      <c r="V66" s="549"/>
      <c r="W66" s="550"/>
      <c r="X66" s="550"/>
      <c r="Y66" s="549"/>
      <c r="Z66" s="550"/>
      <c r="AA66" s="550"/>
      <c r="AB66" s="549"/>
      <c r="AC66" s="550"/>
      <c r="AD66" s="550"/>
      <c r="AE66" s="549"/>
      <c r="AF66" s="550"/>
      <c r="AG66" s="550"/>
      <c r="AH66" s="549"/>
      <c r="AI66" s="550"/>
      <c r="AJ66" s="550"/>
      <c r="AK66" s="549"/>
      <c r="AL66" s="550"/>
      <c r="AM66" s="550"/>
      <c r="AN66" s="549"/>
      <c r="AO66" s="550"/>
      <c r="AP66" s="550"/>
      <c r="AQ66" s="549"/>
      <c r="AR66" s="550"/>
      <c r="AS66" s="550"/>
      <c r="AT66" s="549"/>
      <c r="AU66" s="550"/>
      <c r="AV66" s="550"/>
      <c r="AW66" s="549"/>
      <c r="AX66" s="550"/>
      <c r="AY66" s="550"/>
      <c r="AZ66" s="549"/>
      <c r="BA66" s="550"/>
      <c r="BB66" s="550"/>
      <c r="BC66" s="550"/>
    </row>
    <row r="67" spans="1:55" s="491" customFormat="1">
      <c r="A67" s="531" t="str">
        <f t="shared" ref="A67:A98" si="6">R.1Division</f>
        <v>CP</v>
      </c>
      <c r="B67" s="50" t="str">
        <f t="shared" ref="B67:B98" si="7">R.1CodeName</f>
        <v>Div12</v>
      </c>
      <c r="C67" s="50" t="s">
        <v>259</v>
      </c>
      <c r="D67" s="532" t="s">
        <v>214</v>
      </c>
      <c r="E67" s="50" t="s">
        <v>53</v>
      </c>
      <c r="F67" s="535">
        <f>R.7WestDevName3</f>
        <v>0</v>
      </c>
      <c r="G67" s="543">
        <f>R.7WestDevHrs3</f>
        <v>0</v>
      </c>
      <c r="H67" s="544">
        <f>Table3[[#This Row],[Hrs Rank]]</f>
        <v>0</v>
      </c>
      <c r="I67" s="534">
        <f t="shared" ref="I67:I130" si="8">IF(ISNA(VLOOKUP($H67,R.VL_DEQResourceHours,2,FALSE)),0,VLOOKUP($H67,R.VL_DEQResourceHours,2,FALSE))</f>
        <v>0</v>
      </c>
      <c r="J67" s="534">
        <f t="shared" ref="J67:J130" si="9">IF(ISNA(VLOOKUP($H67,R.VL_DEQResourceHours,3,FALSE)),0,VLOOKUP($H67,R.VL_DEQResourceHours,3,FALSE))</f>
        <v>0</v>
      </c>
      <c r="K67" s="546"/>
      <c r="L67" s="546"/>
      <c r="M67" s="547" t="s">
        <v>228</v>
      </c>
      <c r="N67" s="547" t="s">
        <v>228</v>
      </c>
      <c r="O67" s="548"/>
      <c r="P67" s="549"/>
      <c r="Q67" s="550"/>
      <c r="R67" s="550"/>
      <c r="S67" s="549"/>
      <c r="T67" s="550"/>
      <c r="U67" s="550"/>
      <c r="V67" s="549"/>
      <c r="W67" s="550"/>
      <c r="X67" s="550"/>
      <c r="Y67" s="549"/>
      <c r="Z67" s="550"/>
      <c r="AA67" s="550"/>
      <c r="AB67" s="549"/>
      <c r="AC67" s="550"/>
      <c r="AD67" s="550"/>
      <c r="AE67" s="549"/>
      <c r="AF67" s="550"/>
      <c r="AG67" s="550"/>
      <c r="AH67" s="549"/>
      <c r="AI67" s="550"/>
      <c r="AJ67" s="550"/>
      <c r="AK67" s="549"/>
      <c r="AL67" s="550"/>
      <c r="AM67" s="550"/>
      <c r="AN67" s="549"/>
      <c r="AO67" s="550"/>
      <c r="AP67" s="550"/>
      <c r="AQ67" s="549"/>
      <c r="AR67" s="550"/>
      <c r="AS67" s="550"/>
      <c r="AT67" s="549"/>
      <c r="AU67" s="550"/>
      <c r="AV67" s="550"/>
      <c r="AW67" s="549"/>
      <c r="AX67" s="550"/>
      <c r="AY67" s="550"/>
      <c r="AZ67" s="549"/>
      <c r="BA67" s="550"/>
      <c r="BB67" s="550"/>
      <c r="BC67" s="550"/>
    </row>
    <row r="68" spans="1:55" s="491" customFormat="1">
      <c r="A68" s="531" t="str">
        <f t="shared" si="6"/>
        <v>CP</v>
      </c>
      <c r="B68" s="50" t="str">
        <f t="shared" si="7"/>
        <v>Div12</v>
      </c>
      <c r="C68" s="50" t="s">
        <v>259</v>
      </c>
      <c r="D68" s="532" t="s">
        <v>214</v>
      </c>
      <c r="E68" s="50" t="s">
        <v>53</v>
      </c>
      <c r="F68" s="535">
        <f>R.7WestDevName4</f>
        <v>0</v>
      </c>
      <c r="G68" s="543">
        <f>R.7WestDevHrs4</f>
        <v>0</v>
      </c>
      <c r="H68" s="544">
        <f>Table3[[#This Row],[Hrs Rank]]</f>
        <v>0</v>
      </c>
      <c r="I68" s="534">
        <f t="shared" si="8"/>
        <v>0</v>
      </c>
      <c r="J68" s="534">
        <f t="shared" si="9"/>
        <v>0</v>
      </c>
      <c r="K68" s="546"/>
      <c r="L68" s="546"/>
      <c r="M68" s="547" t="s">
        <v>228</v>
      </c>
      <c r="N68" s="547" t="s">
        <v>228</v>
      </c>
      <c r="O68" s="548"/>
      <c r="P68" s="549"/>
      <c r="Q68" s="550"/>
      <c r="R68" s="550"/>
      <c r="S68" s="549"/>
      <c r="T68" s="550"/>
      <c r="U68" s="550"/>
      <c r="V68" s="549"/>
      <c r="W68" s="550"/>
      <c r="X68" s="550"/>
      <c r="Y68" s="549"/>
      <c r="Z68" s="550"/>
      <c r="AA68" s="550"/>
      <c r="AB68" s="549"/>
      <c r="AC68" s="550"/>
      <c r="AD68" s="550"/>
      <c r="AE68" s="549"/>
      <c r="AF68" s="550"/>
      <c r="AG68" s="550"/>
      <c r="AH68" s="549"/>
      <c r="AI68" s="550"/>
      <c r="AJ68" s="550"/>
      <c r="AK68" s="549"/>
      <c r="AL68" s="550"/>
      <c r="AM68" s="550"/>
      <c r="AN68" s="549"/>
      <c r="AO68" s="550"/>
      <c r="AP68" s="550"/>
      <c r="AQ68" s="549"/>
      <c r="AR68" s="550"/>
      <c r="AS68" s="550"/>
      <c r="AT68" s="549"/>
      <c r="AU68" s="550"/>
      <c r="AV68" s="550"/>
      <c r="AW68" s="549"/>
      <c r="AX68" s="550"/>
      <c r="AY68" s="550"/>
      <c r="AZ68" s="549"/>
      <c r="BA68" s="550"/>
      <c r="BB68" s="550"/>
      <c r="BC68" s="550"/>
    </row>
    <row r="69" spans="1:55" s="491" customFormat="1">
      <c r="A69" s="531" t="str">
        <f t="shared" si="6"/>
        <v>CP</v>
      </c>
      <c r="B69" s="50" t="str">
        <f t="shared" si="7"/>
        <v>Div12</v>
      </c>
      <c r="C69" s="50" t="s">
        <v>259</v>
      </c>
      <c r="D69" s="532" t="s">
        <v>214</v>
      </c>
      <c r="E69" s="50" t="s">
        <v>52</v>
      </c>
      <c r="F69" s="535" t="str">
        <f>R.7WestImpName1</f>
        <v xml:space="preserve"> </v>
      </c>
      <c r="G69" s="543">
        <f>R.7WestImpHrs1</f>
        <v>0</v>
      </c>
      <c r="H69" s="544">
        <f>Table3[[#This Row],[Hrs Rank]]</f>
        <v>0</v>
      </c>
      <c r="I69" s="534">
        <f t="shared" si="8"/>
        <v>0</v>
      </c>
      <c r="J69" s="534">
        <f t="shared" si="9"/>
        <v>0</v>
      </c>
      <c r="K69" s="546"/>
      <c r="L69" s="546"/>
      <c r="M69" s="547" t="s">
        <v>228</v>
      </c>
      <c r="N69" s="547" t="s">
        <v>228</v>
      </c>
      <c r="O69" s="548"/>
      <c r="P69" s="549"/>
      <c r="Q69" s="550"/>
      <c r="R69" s="550"/>
      <c r="S69" s="549"/>
      <c r="T69" s="550"/>
      <c r="U69" s="550"/>
      <c r="V69" s="549"/>
      <c r="W69" s="550"/>
      <c r="X69" s="550"/>
      <c r="Y69" s="549"/>
      <c r="Z69" s="550"/>
      <c r="AA69" s="550"/>
      <c r="AB69" s="549"/>
      <c r="AC69" s="550"/>
      <c r="AD69" s="550"/>
      <c r="AE69" s="549"/>
      <c r="AF69" s="550"/>
      <c r="AG69" s="550"/>
      <c r="AH69" s="549"/>
      <c r="AI69" s="550"/>
      <c r="AJ69" s="550"/>
      <c r="AK69" s="549"/>
      <c r="AL69" s="550"/>
      <c r="AM69" s="550"/>
      <c r="AN69" s="549"/>
      <c r="AO69" s="550"/>
      <c r="AP69" s="550"/>
      <c r="AQ69" s="549"/>
      <c r="AR69" s="550"/>
      <c r="AS69" s="550"/>
      <c r="AT69" s="549"/>
      <c r="AU69" s="550"/>
      <c r="AV69" s="550"/>
      <c r="AW69" s="549"/>
      <c r="AX69" s="550"/>
      <c r="AY69" s="550"/>
      <c r="AZ69" s="549"/>
      <c r="BA69" s="550"/>
      <c r="BB69" s="550"/>
      <c r="BC69" s="550"/>
    </row>
    <row r="70" spans="1:55" s="491" customFormat="1">
      <c r="A70" s="531" t="str">
        <f t="shared" si="6"/>
        <v>CP</v>
      </c>
      <c r="B70" s="50" t="str">
        <f t="shared" si="7"/>
        <v>Div12</v>
      </c>
      <c r="C70" s="50" t="s">
        <v>259</v>
      </c>
      <c r="D70" s="532" t="s">
        <v>214</v>
      </c>
      <c r="E70" s="50" t="s">
        <v>52</v>
      </c>
      <c r="F70" s="535">
        <f>R.7WestImpName2</f>
        <v>0</v>
      </c>
      <c r="G70" s="543">
        <f>R.7WestDevHrs2</f>
        <v>0</v>
      </c>
      <c r="H70" s="544">
        <f>Table3[[#This Row],[Hrs Rank]]</f>
        <v>0</v>
      </c>
      <c r="I70" s="534">
        <f t="shared" si="8"/>
        <v>0</v>
      </c>
      <c r="J70" s="534">
        <f t="shared" si="9"/>
        <v>0</v>
      </c>
      <c r="K70" s="546"/>
      <c r="L70" s="546"/>
      <c r="M70" s="547" t="s">
        <v>228</v>
      </c>
      <c r="N70" s="547" t="s">
        <v>228</v>
      </c>
      <c r="O70" s="548"/>
      <c r="P70" s="549"/>
      <c r="Q70" s="550"/>
      <c r="R70" s="550"/>
      <c r="S70" s="549"/>
      <c r="T70" s="550"/>
      <c r="U70" s="550"/>
      <c r="V70" s="549"/>
      <c r="W70" s="550"/>
      <c r="X70" s="550"/>
      <c r="Y70" s="549"/>
      <c r="Z70" s="550"/>
      <c r="AA70" s="550"/>
      <c r="AB70" s="549"/>
      <c r="AC70" s="550"/>
      <c r="AD70" s="550"/>
      <c r="AE70" s="549"/>
      <c r="AF70" s="550"/>
      <c r="AG70" s="550"/>
      <c r="AH70" s="549"/>
      <c r="AI70" s="550"/>
      <c r="AJ70" s="550"/>
      <c r="AK70" s="549"/>
      <c r="AL70" s="550"/>
      <c r="AM70" s="550"/>
      <c r="AN70" s="549"/>
      <c r="AO70" s="550"/>
      <c r="AP70" s="550"/>
      <c r="AQ70" s="549"/>
      <c r="AR70" s="550"/>
      <c r="AS70" s="550"/>
      <c r="AT70" s="549"/>
      <c r="AU70" s="550"/>
      <c r="AV70" s="550"/>
      <c r="AW70" s="549"/>
      <c r="AX70" s="550"/>
      <c r="AY70" s="550"/>
      <c r="AZ70" s="549"/>
      <c r="BA70" s="550"/>
      <c r="BB70" s="550"/>
      <c r="BC70" s="550"/>
    </row>
    <row r="71" spans="1:55" s="491" customFormat="1">
      <c r="A71" s="531" t="str">
        <f t="shared" si="6"/>
        <v>CP</v>
      </c>
      <c r="B71" s="50" t="str">
        <f t="shared" si="7"/>
        <v>Div12</v>
      </c>
      <c r="C71" s="50" t="s">
        <v>259</v>
      </c>
      <c r="D71" s="532" t="s">
        <v>214</v>
      </c>
      <c r="E71" s="50" t="s">
        <v>52</v>
      </c>
      <c r="F71" s="535">
        <f>R.7WestImpName3</f>
        <v>0</v>
      </c>
      <c r="G71" s="543">
        <f>R.7WestDevHrs3</f>
        <v>0</v>
      </c>
      <c r="H71" s="544">
        <f>Table3[[#This Row],[Hrs Rank]]</f>
        <v>0</v>
      </c>
      <c r="I71" s="534">
        <f t="shared" si="8"/>
        <v>0</v>
      </c>
      <c r="J71" s="534">
        <f t="shared" si="9"/>
        <v>0</v>
      </c>
      <c r="K71" s="546"/>
      <c r="L71" s="546"/>
      <c r="M71" s="547" t="s">
        <v>228</v>
      </c>
      <c r="N71" s="547" t="s">
        <v>228</v>
      </c>
      <c r="O71" s="548"/>
      <c r="P71" s="549"/>
      <c r="Q71" s="550"/>
      <c r="R71" s="550"/>
      <c r="S71" s="549"/>
      <c r="T71" s="550"/>
      <c r="U71" s="550"/>
      <c r="V71" s="549"/>
      <c r="W71" s="550"/>
      <c r="X71" s="550"/>
      <c r="Y71" s="549"/>
      <c r="Z71" s="550"/>
      <c r="AA71" s="550"/>
      <c r="AB71" s="549"/>
      <c r="AC71" s="550"/>
      <c r="AD71" s="550"/>
      <c r="AE71" s="549"/>
      <c r="AF71" s="550"/>
      <c r="AG71" s="550"/>
      <c r="AH71" s="549"/>
      <c r="AI71" s="550"/>
      <c r="AJ71" s="550"/>
      <c r="AK71" s="549"/>
      <c r="AL71" s="550"/>
      <c r="AM71" s="550"/>
      <c r="AN71" s="549"/>
      <c r="AO71" s="550"/>
      <c r="AP71" s="550"/>
      <c r="AQ71" s="549"/>
      <c r="AR71" s="550"/>
      <c r="AS71" s="550"/>
      <c r="AT71" s="549"/>
      <c r="AU71" s="550"/>
      <c r="AV71" s="550"/>
      <c r="AW71" s="549"/>
      <c r="AX71" s="550"/>
      <c r="AY71" s="550"/>
      <c r="AZ71" s="549"/>
      <c r="BA71" s="550"/>
      <c r="BB71" s="550"/>
      <c r="BC71" s="550"/>
    </row>
    <row r="72" spans="1:55" s="491" customFormat="1">
      <c r="A72" s="531" t="str">
        <f t="shared" si="6"/>
        <v>CP</v>
      </c>
      <c r="B72" s="50" t="str">
        <f t="shared" si="7"/>
        <v>Div12</v>
      </c>
      <c r="C72" s="50" t="s">
        <v>259</v>
      </c>
      <c r="D72" s="532" t="s">
        <v>214</v>
      </c>
      <c r="E72" s="50" t="s">
        <v>52</v>
      </c>
      <c r="F72" s="535">
        <f>R.7WestImpName4</f>
        <v>0</v>
      </c>
      <c r="G72" s="543">
        <f>R.7WestDevHrs4</f>
        <v>0</v>
      </c>
      <c r="H72" s="544">
        <f>Table3[[#This Row],[Hrs Rank]]</f>
        <v>0</v>
      </c>
      <c r="I72" s="534">
        <f t="shared" si="8"/>
        <v>0</v>
      </c>
      <c r="J72" s="534">
        <f t="shared" si="9"/>
        <v>0</v>
      </c>
      <c r="K72" s="546"/>
      <c r="L72" s="546"/>
      <c r="M72" s="547" t="s">
        <v>228</v>
      </c>
      <c r="N72" s="547" t="s">
        <v>228</v>
      </c>
      <c r="O72" s="548"/>
      <c r="P72" s="549"/>
      <c r="Q72" s="550"/>
      <c r="R72" s="550"/>
      <c r="S72" s="549"/>
      <c r="T72" s="550"/>
      <c r="U72" s="550"/>
      <c r="V72" s="549"/>
      <c r="W72" s="550"/>
      <c r="X72" s="550"/>
      <c r="Y72" s="549"/>
      <c r="Z72" s="550"/>
      <c r="AA72" s="550"/>
      <c r="AB72" s="549"/>
      <c r="AC72" s="550"/>
      <c r="AD72" s="550"/>
      <c r="AE72" s="549"/>
      <c r="AF72" s="550"/>
      <c r="AG72" s="550"/>
      <c r="AH72" s="549"/>
      <c r="AI72" s="550"/>
      <c r="AJ72" s="550"/>
      <c r="AK72" s="549"/>
      <c r="AL72" s="550"/>
      <c r="AM72" s="550"/>
      <c r="AN72" s="549"/>
      <c r="AO72" s="550"/>
      <c r="AP72" s="550"/>
      <c r="AQ72" s="549"/>
      <c r="AR72" s="550"/>
      <c r="AS72" s="550"/>
      <c r="AT72" s="549"/>
      <c r="AU72" s="550"/>
      <c r="AV72" s="550"/>
      <c r="AW72" s="549"/>
      <c r="AX72" s="550"/>
      <c r="AY72" s="550"/>
      <c r="AZ72" s="549"/>
      <c r="BA72" s="550"/>
      <c r="BB72" s="550"/>
      <c r="BC72" s="550"/>
    </row>
    <row r="73" spans="1:55" s="491" customFormat="1">
      <c r="A73" s="531" t="str">
        <f t="shared" si="6"/>
        <v>CP</v>
      </c>
      <c r="B73" s="50" t="str">
        <f t="shared" si="7"/>
        <v>Div12</v>
      </c>
      <c r="C73" s="50" t="s">
        <v>259</v>
      </c>
      <c r="D73" s="532" t="s">
        <v>215</v>
      </c>
      <c r="E73" s="50" t="s">
        <v>53</v>
      </c>
      <c r="F73" s="535" t="str">
        <f>R.7NWRegionDevName1</f>
        <v>Nina Deconcini</v>
      </c>
      <c r="G73" s="543">
        <f>R.7NWRegionDevHrs1</f>
        <v>1</v>
      </c>
      <c r="H73" s="544">
        <f>Table3[[#This Row],[Hrs Rank]]</f>
        <v>1</v>
      </c>
      <c r="I73" s="534">
        <f t="shared" si="8"/>
        <v>1</v>
      </c>
      <c r="J73" s="534">
        <f t="shared" si="9"/>
        <v>8</v>
      </c>
      <c r="K73" s="546"/>
      <c r="L73" s="546"/>
      <c r="M73" s="547" t="s">
        <v>228</v>
      </c>
      <c r="N73" s="547" t="s">
        <v>228</v>
      </c>
      <c r="O73" s="548"/>
      <c r="P73" s="549"/>
      <c r="Q73" s="550"/>
      <c r="R73" s="550"/>
      <c r="S73" s="549"/>
      <c r="T73" s="550"/>
      <c r="U73" s="550"/>
      <c r="V73" s="549"/>
      <c r="W73" s="550"/>
      <c r="X73" s="550"/>
      <c r="Y73" s="549"/>
      <c r="Z73" s="550"/>
      <c r="AA73" s="550"/>
      <c r="AB73" s="549"/>
      <c r="AC73" s="550"/>
      <c r="AD73" s="550"/>
      <c r="AE73" s="549"/>
      <c r="AF73" s="550"/>
      <c r="AG73" s="550"/>
      <c r="AH73" s="549"/>
      <c r="AI73" s="550"/>
      <c r="AJ73" s="550"/>
      <c r="AK73" s="549"/>
      <c r="AL73" s="550"/>
      <c r="AM73" s="550"/>
      <c r="AN73" s="549"/>
      <c r="AO73" s="550"/>
      <c r="AP73" s="550"/>
      <c r="AQ73" s="549"/>
      <c r="AR73" s="550"/>
      <c r="AS73" s="550"/>
      <c r="AT73" s="549"/>
      <c r="AU73" s="550"/>
      <c r="AV73" s="550"/>
      <c r="AW73" s="549"/>
      <c r="AX73" s="550"/>
      <c r="AY73" s="550"/>
      <c r="AZ73" s="549"/>
      <c r="BA73" s="550"/>
      <c r="BB73" s="550"/>
      <c r="BC73" s="550"/>
    </row>
    <row r="74" spans="1:55" s="491" customFormat="1">
      <c r="A74" s="531" t="str">
        <f t="shared" si="6"/>
        <v>CP</v>
      </c>
      <c r="B74" s="50" t="str">
        <f t="shared" si="7"/>
        <v>Div12</v>
      </c>
      <c r="C74" s="50" t="s">
        <v>259</v>
      </c>
      <c r="D74" s="532" t="s">
        <v>215</v>
      </c>
      <c r="E74" s="50" t="s">
        <v>53</v>
      </c>
      <c r="F74" s="535" t="str">
        <f>R.7NWRegionDevName2</f>
        <v xml:space="preserve"> </v>
      </c>
      <c r="G74" s="543">
        <f>R.7NWRegionDevHrs2</f>
        <v>0</v>
      </c>
      <c r="H74" s="544">
        <f>Table3[[#This Row],[Hrs Rank]]</f>
        <v>0</v>
      </c>
      <c r="I74" s="534">
        <f t="shared" si="8"/>
        <v>0</v>
      </c>
      <c r="J74" s="534">
        <f t="shared" si="9"/>
        <v>0</v>
      </c>
      <c r="K74" s="546"/>
      <c r="L74" s="546"/>
      <c r="M74" s="547" t="s">
        <v>228</v>
      </c>
      <c r="N74" s="547" t="s">
        <v>228</v>
      </c>
      <c r="O74" s="548"/>
      <c r="P74" s="549"/>
      <c r="Q74" s="550"/>
      <c r="R74" s="550"/>
      <c r="S74" s="549"/>
      <c r="T74" s="550"/>
      <c r="U74" s="550"/>
      <c r="V74" s="549"/>
      <c r="W74" s="550"/>
      <c r="X74" s="550"/>
      <c r="Y74" s="549"/>
      <c r="Z74" s="550"/>
      <c r="AA74" s="550"/>
      <c r="AB74" s="549"/>
      <c r="AC74" s="550"/>
      <c r="AD74" s="550"/>
      <c r="AE74" s="549"/>
      <c r="AF74" s="550"/>
      <c r="AG74" s="550"/>
      <c r="AH74" s="549"/>
      <c r="AI74" s="550"/>
      <c r="AJ74" s="550"/>
      <c r="AK74" s="549"/>
      <c r="AL74" s="550"/>
      <c r="AM74" s="550"/>
      <c r="AN74" s="549"/>
      <c r="AO74" s="550"/>
      <c r="AP74" s="550"/>
      <c r="AQ74" s="549"/>
      <c r="AR74" s="550"/>
      <c r="AS74" s="550"/>
      <c r="AT74" s="549"/>
      <c r="AU74" s="550"/>
      <c r="AV74" s="550"/>
      <c r="AW74" s="549"/>
      <c r="AX74" s="550"/>
      <c r="AY74" s="550"/>
      <c r="AZ74" s="549"/>
      <c r="BA74" s="550"/>
      <c r="BB74" s="550"/>
      <c r="BC74" s="550"/>
    </row>
    <row r="75" spans="1:55" s="491" customFormat="1">
      <c r="A75" s="531" t="str">
        <f t="shared" si="6"/>
        <v>CP</v>
      </c>
      <c r="B75" s="50" t="str">
        <f t="shared" si="7"/>
        <v>Div12</v>
      </c>
      <c r="C75" s="50" t="s">
        <v>259</v>
      </c>
      <c r="D75" s="532" t="s">
        <v>215</v>
      </c>
      <c r="E75" s="50" t="s">
        <v>53</v>
      </c>
      <c r="F75" s="535" t="str">
        <f>R.7NWRegionDevName3</f>
        <v xml:space="preserve"> </v>
      </c>
      <c r="G75" s="543">
        <f>R.7NWRegionDevHrs3</f>
        <v>0</v>
      </c>
      <c r="H75" s="544">
        <f>Table3[[#This Row],[Hrs Rank]]</f>
        <v>0</v>
      </c>
      <c r="I75" s="534">
        <f t="shared" si="8"/>
        <v>0</v>
      </c>
      <c r="J75" s="534">
        <f t="shared" si="9"/>
        <v>0</v>
      </c>
      <c r="K75" s="546"/>
      <c r="L75" s="546"/>
      <c r="M75" s="547" t="s">
        <v>228</v>
      </c>
      <c r="N75" s="547" t="s">
        <v>228</v>
      </c>
      <c r="O75" s="548"/>
      <c r="P75" s="549"/>
      <c r="Q75" s="550"/>
      <c r="R75" s="550"/>
      <c r="S75" s="549"/>
      <c r="T75" s="550"/>
      <c r="U75" s="550"/>
      <c r="V75" s="549"/>
      <c r="W75" s="550"/>
      <c r="X75" s="550"/>
      <c r="Y75" s="549"/>
      <c r="Z75" s="550"/>
      <c r="AA75" s="550"/>
      <c r="AB75" s="549"/>
      <c r="AC75" s="550"/>
      <c r="AD75" s="550"/>
      <c r="AE75" s="549"/>
      <c r="AF75" s="550"/>
      <c r="AG75" s="550"/>
      <c r="AH75" s="549"/>
      <c r="AI75" s="550"/>
      <c r="AJ75" s="550"/>
      <c r="AK75" s="549"/>
      <c r="AL75" s="550"/>
      <c r="AM75" s="550"/>
      <c r="AN75" s="549"/>
      <c r="AO75" s="550"/>
      <c r="AP75" s="550"/>
      <c r="AQ75" s="549"/>
      <c r="AR75" s="550"/>
      <c r="AS75" s="550"/>
      <c r="AT75" s="549"/>
      <c r="AU75" s="550"/>
      <c r="AV75" s="550"/>
      <c r="AW75" s="549"/>
      <c r="AX75" s="550"/>
      <c r="AY75" s="550"/>
      <c r="AZ75" s="549"/>
      <c r="BA75" s="550"/>
      <c r="BB75" s="550"/>
      <c r="BC75" s="550"/>
    </row>
    <row r="76" spans="1:55" s="491" customFormat="1">
      <c r="A76" s="531" t="str">
        <f t="shared" si="6"/>
        <v>CP</v>
      </c>
      <c r="B76" s="50" t="str">
        <f t="shared" si="7"/>
        <v>Div12</v>
      </c>
      <c r="C76" s="50" t="s">
        <v>259</v>
      </c>
      <c r="D76" s="532" t="s">
        <v>215</v>
      </c>
      <c r="E76" s="50" t="s">
        <v>53</v>
      </c>
      <c r="F76" s="535" t="str">
        <f>R.7NWRegionDevName4</f>
        <v xml:space="preserve"> </v>
      </c>
      <c r="G76" s="543">
        <f>R.7NWRegionDevHrs4</f>
        <v>0</v>
      </c>
      <c r="H76" s="544">
        <f>Table3[[#This Row],[Hrs Rank]]</f>
        <v>0</v>
      </c>
      <c r="I76" s="534">
        <f t="shared" si="8"/>
        <v>0</v>
      </c>
      <c r="J76" s="534">
        <f t="shared" si="9"/>
        <v>0</v>
      </c>
      <c r="K76" s="546"/>
      <c r="L76" s="546"/>
      <c r="M76" s="547" t="s">
        <v>228</v>
      </c>
      <c r="N76" s="547" t="s">
        <v>228</v>
      </c>
      <c r="O76" s="548"/>
      <c r="P76" s="549"/>
      <c r="Q76" s="550"/>
      <c r="R76" s="550"/>
      <c r="S76" s="549"/>
      <c r="T76" s="550"/>
      <c r="U76" s="550"/>
      <c r="V76" s="549"/>
      <c r="W76" s="550"/>
      <c r="X76" s="550"/>
      <c r="Y76" s="549"/>
      <c r="Z76" s="550"/>
      <c r="AA76" s="550"/>
      <c r="AB76" s="549"/>
      <c r="AC76" s="550"/>
      <c r="AD76" s="550"/>
      <c r="AE76" s="549"/>
      <c r="AF76" s="550"/>
      <c r="AG76" s="550"/>
      <c r="AH76" s="549"/>
      <c r="AI76" s="550"/>
      <c r="AJ76" s="550"/>
      <c r="AK76" s="549"/>
      <c r="AL76" s="550"/>
      <c r="AM76" s="550"/>
      <c r="AN76" s="549"/>
      <c r="AO76" s="550"/>
      <c r="AP76" s="550"/>
      <c r="AQ76" s="549"/>
      <c r="AR76" s="550"/>
      <c r="AS76" s="550"/>
      <c r="AT76" s="549"/>
      <c r="AU76" s="550"/>
      <c r="AV76" s="550"/>
      <c r="AW76" s="549"/>
      <c r="AX76" s="550"/>
      <c r="AY76" s="550"/>
      <c r="AZ76" s="549"/>
      <c r="BA76" s="550"/>
      <c r="BB76" s="550"/>
      <c r="BC76" s="550"/>
    </row>
    <row r="77" spans="1:55" s="491" customFormat="1">
      <c r="A77" s="531" t="str">
        <f t="shared" si="6"/>
        <v>CP</v>
      </c>
      <c r="B77" s="50" t="str">
        <f t="shared" si="7"/>
        <v>Div12</v>
      </c>
      <c r="C77" s="50" t="s">
        <v>259</v>
      </c>
      <c r="D77" s="532" t="s">
        <v>215</v>
      </c>
      <c r="E77" s="50" t="s">
        <v>52</v>
      </c>
      <c r="F77" s="535" t="str">
        <f>R.7NWRegionImpName1</f>
        <v xml:space="preserve"> </v>
      </c>
      <c r="G77" s="543">
        <f>R.7NWRegionImpHrs1</f>
        <v>0</v>
      </c>
      <c r="H77" s="544">
        <f>Table3[[#This Row],[Hrs Rank]]</f>
        <v>0</v>
      </c>
      <c r="I77" s="534">
        <f t="shared" si="8"/>
        <v>0</v>
      </c>
      <c r="J77" s="534">
        <f t="shared" si="9"/>
        <v>0</v>
      </c>
      <c r="K77" s="546"/>
      <c r="L77" s="546"/>
      <c r="M77" s="547" t="s">
        <v>228</v>
      </c>
      <c r="N77" s="547" t="s">
        <v>228</v>
      </c>
      <c r="O77" s="548"/>
      <c r="P77" s="549"/>
      <c r="Q77" s="550"/>
      <c r="R77" s="550"/>
      <c r="S77" s="549"/>
      <c r="T77" s="550"/>
      <c r="U77" s="550"/>
      <c r="V77" s="549"/>
      <c r="W77" s="550"/>
      <c r="X77" s="550"/>
      <c r="Y77" s="549"/>
      <c r="Z77" s="550"/>
      <c r="AA77" s="550"/>
      <c r="AB77" s="549"/>
      <c r="AC77" s="550"/>
      <c r="AD77" s="550"/>
      <c r="AE77" s="549"/>
      <c r="AF77" s="550"/>
      <c r="AG77" s="550"/>
      <c r="AH77" s="549"/>
      <c r="AI77" s="550"/>
      <c r="AJ77" s="550"/>
      <c r="AK77" s="549"/>
      <c r="AL77" s="550"/>
      <c r="AM77" s="550"/>
      <c r="AN77" s="549"/>
      <c r="AO77" s="550"/>
      <c r="AP77" s="550"/>
      <c r="AQ77" s="549"/>
      <c r="AR77" s="550"/>
      <c r="AS77" s="550"/>
      <c r="AT77" s="549"/>
      <c r="AU77" s="550"/>
      <c r="AV77" s="550"/>
      <c r="AW77" s="549"/>
      <c r="AX77" s="550"/>
      <c r="AY77" s="550"/>
      <c r="AZ77" s="549"/>
      <c r="BA77" s="550"/>
      <c r="BB77" s="550"/>
      <c r="BC77" s="550"/>
    </row>
    <row r="78" spans="1:55" s="491" customFormat="1">
      <c r="A78" s="531" t="str">
        <f t="shared" si="6"/>
        <v>CP</v>
      </c>
      <c r="B78" s="50" t="str">
        <f t="shared" si="7"/>
        <v>Div12</v>
      </c>
      <c r="C78" s="50" t="s">
        <v>259</v>
      </c>
      <c r="D78" s="532" t="s">
        <v>215</v>
      </c>
      <c r="E78" s="50" t="s">
        <v>52</v>
      </c>
      <c r="F78" s="535" t="str">
        <f>R.7NWRegionImpName2</f>
        <v xml:space="preserve"> </v>
      </c>
      <c r="G78" s="543">
        <f>R.7NWRegionImpHrs2</f>
        <v>0</v>
      </c>
      <c r="H78" s="544">
        <f>Table3[[#This Row],[Hrs Rank]]</f>
        <v>0</v>
      </c>
      <c r="I78" s="534">
        <f t="shared" si="8"/>
        <v>0</v>
      </c>
      <c r="J78" s="534">
        <f t="shared" si="9"/>
        <v>0</v>
      </c>
      <c r="K78" s="546"/>
      <c r="L78" s="546"/>
      <c r="M78" s="547" t="s">
        <v>228</v>
      </c>
      <c r="N78" s="547" t="s">
        <v>228</v>
      </c>
      <c r="O78" s="548"/>
      <c r="P78" s="549"/>
      <c r="Q78" s="550"/>
      <c r="R78" s="550"/>
      <c r="S78" s="549"/>
      <c r="T78" s="550"/>
      <c r="U78" s="550"/>
      <c r="V78" s="549"/>
      <c r="W78" s="550"/>
      <c r="X78" s="550"/>
      <c r="Y78" s="549"/>
      <c r="Z78" s="550"/>
      <c r="AA78" s="550"/>
      <c r="AB78" s="549"/>
      <c r="AC78" s="550"/>
      <c r="AD78" s="550"/>
      <c r="AE78" s="549"/>
      <c r="AF78" s="550"/>
      <c r="AG78" s="550"/>
      <c r="AH78" s="549"/>
      <c r="AI78" s="550"/>
      <c r="AJ78" s="550"/>
      <c r="AK78" s="549"/>
      <c r="AL78" s="550"/>
      <c r="AM78" s="550"/>
      <c r="AN78" s="549"/>
      <c r="AO78" s="550"/>
      <c r="AP78" s="550"/>
      <c r="AQ78" s="549"/>
      <c r="AR78" s="550"/>
      <c r="AS78" s="550"/>
      <c r="AT78" s="549"/>
      <c r="AU78" s="550"/>
      <c r="AV78" s="550"/>
      <c r="AW78" s="549"/>
      <c r="AX78" s="550"/>
      <c r="AY78" s="550"/>
      <c r="AZ78" s="549"/>
      <c r="BA78" s="550"/>
      <c r="BB78" s="550"/>
      <c r="BC78" s="550"/>
    </row>
    <row r="79" spans="1:55" s="491" customFormat="1">
      <c r="A79" s="531" t="str">
        <f t="shared" si="6"/>
        <v>CP</v>
      </c>
      <c r="B79" s="50" t="str">
        <f t="shared" si="7"/>
        <v>Div12</v>
      </c>
      <c r="C79" s="50" t="s">
        <v>259</v>
      </c>
      <c r="D79" s="532" t="s">
        <v>215</v>
      </c>
      <c r="E79" s="50" t="s">
        <v>52</v>
      </c>
      <c r="F79" s="535" t="str">
        <f>R.7NWRegionImpName3</f>
        <v xml:space="preserve"> </v>
      </c>
      <c r="G79" s="543">
        <f>R.7NWRegionImpHrs3</f>
        <v>0</v>
      </c>
      <c r="H79" s="544">
        <f>Table3[[#This Row],[Hrs Rank]]</f>
        <v>0</v>
      </c>
      <c r="I79" s="534">
        <f t="shared" si="8"/>
        <v>0</v>
      </c>
      <c r="J79" s="534">
        <f t="shared" si="9"/>
        <v>0</v>
      </c>
      <c r="K79" s="546"/>
      <c r="L79" s="546"/>
      <c r="M79" s="547" t="s">
        <v>228</v>
      </c>
      <c r="N79" s="547" t="s">
        <v>228</v>
      </c>
      <c r="O79" s="548"/>
      <c r="P79" s="549"/>
      <c r="Q79" s="550"/>
      <c r="R79" s="550"/>
      <c r="S79" s="549"/>
      <c r="T79" s="550"/>
      <c r="U79" s="550"/>
      <c r="V79" s="549"/>
      <c r="W79" s="550"/>
      <c r="X79" s="550"/>
      <c r="Y79" s="549"/>
      <c r="Z79" s="550"/>
      <c r="AA79" s="550"/>
      <c r="AB79" s="549"/>
      <c r="AC79" s="550"/>
      <c r="AD79" s="550"/>
      <c r="AE79" s="549"/>
      <c r="AF79" s="550"/>
      <c r="AG79" s="550"/>
      <c r="AH79" s="549"/>
      <c r="AI79" s="550"/>
      <c r="AJ79" s="550"/>
      <c r="AK79" s="549"/>
      <c r="AL79" s="550"/>
      <c r="AM79" s="550"/>
      <c r="AN79" s="549"/>
      <c r="AO79" s="550"/>
      <c r="AP79" s="550"/>
      <c r="AQ79" s="549"/>
      <c r="AR79" s="550"/>
      <c r="AS79" s="550"/>
      <c r="AT79" s="549"/>
      <c r="AU79" s="550"/>
      <c r="AV79" s="550"/>
      <c r="AW79" s="549"/>
      <c r="AX79" s="550"/>
      <c r="AY79" s="550"/>
      <c r="AZ79" s="549"/>
      <c r="BA79" s="550"/>
      <c r="BB79" s="550"/>
      <c r="BC79" s="550"/>
    </row>
    <row r="80" spans="1:55" s="491" customFormat="1">
      <c r="A80" s="531" t="str">
        <f t="shared" si="6"/>
        <v>CP</v>
      </c>
      <c r="B80" s="50" t="str">
        <f t="shared" si="7"/>
        <v>Div12</v>
      </c>
      <c r="C80" s="50" t="s">
        <v>259</v>
      </c>
      <c r="D80" s="532" t="s">
        <v>215</v>
      </c>
      <c r="E80" s="50" t="s">
        <v>52</v>
      </c>
      <c r="F80" s="535" t="str">
        <f>R.7NWRegionImpName4</f>
        <v xml:space="preserve"> </v>
      </c>
      <c r="G80" s="543">
        <f>R.7NWRegionImpHrs4</f>
        <v>0</v>
      </c>
      <c r="H80" s="544">
        <f>Table3[[#This Row],[Hrs Rank]]</f>
        <v>0</v>
      </c>
      <c r="I80" s="534">
        <f t="shared" si="8"/>
        <v>0</v>
      </c>
      <c r="J80" s="534">
        <f t="shared" si="9"/>
        <v>0</v>
      </c>
      <c r="K80" s="546"/>
      <c r="L80" s="546"/>
      <c r="M80" s="547" t="s">
        <v>228</v>
      </c>
      <c r="N80" s="547" t="s">
        <v>228</v>
      </c>
      <c r="O80" s="548"/>
      <c r="P80" s="549"/>
      <c r="Q80" s="550"/>
      <c r="R80" s="550"/>
      <c r="S80" s="549"/>
      <c r="T80" s="550"/>
      <c r="U80" s="550"/>
      <c r="V80" s="549"/>
      <c r="W80" s="550"/>
      <c r="X80" s="550"/>
      <c r="Y80" s="549"/>
      <c r="Z80" s="550"/>
      <c r="AA80" s="550"/>
      <c r="AB80" s="549"/>
      <c r="AC80" s="550"/>
      <c r="AD80" s="550"/>
      <c r="AE80" s="549"/>
      <c r="AF80" s="550"/>
      <c r="AG80" s="550"/>
      <c r="AH80" s="549"/>
      <c r="AI80" s="550"/>
      <c r="AJ80" s="550"/>
      <c r="AK80" s="549"/>
      <c r="AL80" s="550"/>
      <c r="AM80" s="550"/>
      <c r="AN80" s="549"/>
      <c r="AO80" s="550"/>
      <c r="AP80" s="550"/>
      <c r="AQ80" s="549"/>
      <c r="AR80" s="550"/>
      <c r="AS80" s="550"/>
      <c r="AT80" s="549"/>
      <c r="AU80" s="550"/>
      <c r="AV80" s="550"/>
      <c r="AW80" s="549"/>
      <c r="AX80" s="550"/>
      <c r="AY80" s="550"/>
      <c r="AZ80" s="549"/>
      <c r="BA80" s="550"/>
      <c r="BB80" s="550"/>
      <c r="BC80" s="550"/>
    </row>
    <row r="81" spans="1:55" s="491" customFormat="1">
      <c r="A81" s="531" t="str">
        <f t="shared" si="6"/>
        <v>CP</v>
      </c>
      <c r="B81" s="50" t="str">
        <f t="shared" si="7"/>
        <v>Div12</v>
      </c>
      <c r="C81" s="50" t="s">
        <v>260</v>
      </c>
      <c r="D81" s="532" t="s">
        <v>146</v>
      </c>
      <c r="E81" s="50" t="s">
        <v>53</v>
      </c>
      <c r="F81" s="535" t="str">
        <f>R.8BudDevName1</f>
        <v>Budget analyst</v>
      </c>
      <c r="G81" s="543">
        <f>R.8BudDevHrs1</f>
        <v>1</v>
      </c>
      <c r="H81" s="544">
        <f>Table3[[#This Row],[Hrs Rank]]</f>
        <v>1</v>
      </c>
      <c r="I81" s="534">
        <f t="shared" si="8"/>
        <v>1</v>
      </c>
      <c r="J81" s="534">
        <f t="shared" si="9"/>
        <v>8</v>
      </c>
      <c r="K81" s="546"/>
      <c r="L81" s="546"/>
      <c r="M81" s="547" t="s">
        <v>228</v>
      </c>
      <c r="N81" s="547" t="s">
        <v>228</v>
      </c>
      <c r="O81" s="548"/>
      <c r="P81" s="549"/>
      <c r="Q81" s="550"/>
      <c r="R81" s="550"/>
      <c r="S81" s="549"/>
      <c r="T81" s="550"/>
      <c r="U81" s="550"/>
      <c r="V81" s="549"/>
      <c r="W81" s="550"/>
      <c r="X81" s="550"/>
      <c r="Y81" s="549"/>
      <c r="Z81" s="550"/>
      <c r="AA81" s="550"/>
      <c r="AB81" s="549"/>
      <c r="AC81" s="550"/>
      <c r="AD81" s="550"/>
      <c r="AE81" s="549"/>
      <c r="AF81" s="550"/>
      <c r="AG81" s="550"/>
      <c r="AH81" s="549"/>
      <c r="AI81" s="550"/>
      <c r="AJ81" s="550"/>
      <c r="AK81" s="549"/>
      <c r="AL81" s="550"/>
      <c r="AM81" s="550"/>
      <c r="AN81" s="549"/>
      <c r="AO81" s="550"/>
      <c r="AP81" s="550"/>
      <c r="AQ81" s="549"/>
      <c r="AR81" s="550"/>
      <c r="AS81" s="550"/>
      <c r="AT81" s="549"/>
      <c r="AU81" s="550"/>
      <c r="AV81" s="550"/>
      <c r="AW81" s="549"/>
      <c r="AX81" s="550"/>
      <c r="AY81" s="550"/>
      <c r="AZ81" s="549"/>
      <c r="BA81" s="550"/>
      <c r="BB81" s="550"/>
      <c r="BC81" s="550"/>
    </row>
    <row r="82" spans="1:55" s="491" customFormat="1">
      <c r="A82" s="531" t="str">
        <f t="shared" si="6"/>
        <v>CP</v>
      </c>
      <c r="B82" s="50" t="str">
        <f t="shared" si="7"/>
        <v>Div12</v>
      </c>
      <c r="C82" s="50" t="s">
        <v>260</v>
      </c>
      <c r="D82" s="532" t="s">
        <v>146</v>
      </c>
      <c r="E82" s="50" t="s">
        <v>53</v>
      </c>
      <c r="F82" s="535" t="str">
        <f>R.8BudDevName2</f>
        <v xml:space="preserve"> </v>
      </c>
      <c r="G82" s="543">
        <f>R.8BudDevHrs2</f>
        <v>0</v>
      </c>
      <c r="H82" s="544">
        <f>Table3[[#This Row],[Hrs Rank]]</f>
        <v>0</v>
      </c>
      <c r="I82" s="534">
        <f t="shared" si="8"/>
        <v>0</v>
      </c>
      <c r="J82" s="534">
        <f t="shared" si="9"/>
        <v>0</v>
      </c>
      <c r="K82" s="546"/>
      <c r="L82" s="546"/>
      <c r="M82" s="547" t="s">
        <v>228</v>
      </c>
      <c r="N82" s="547" t="s">
        <v>228</v>
      </c>
      <c r="O82" s="548"/>
      <c r="P82" s="549"/>
      <c r="Q82" s="550"/>
      <c r="R82" s="550"/>
      <c r="S82" s="549"/>
      <c r="T82" s="550"/>
      <c r="U82" s="550"/>
      <c r="V82" s="549"/>
      <c r="W82" s="550"/>
      <c r="X82" s="550"/>
      <c r="Y82" s="549"/>
      <c r="Z82" s="550"/>
      <c r="AA82" s="550"/>
      <c r="AB82" s="549"/>
      <c r="AC82" s="550"/>
      <c r="AD82" s="550"/>
      <c r="AE82" s="549"/>
      <c r="AF82" s="550"/>
      <c r="AG82" s="550"/>
      <c r="AH82" s="549"/>
      <c r="AI82" s="550"/>
      <c r="AJ82" s="550"/>
      <c r="AK82" s="549"/>
      <c r="AL82" s="550"/>
      <c r="AM82" s="550"/>
      <c r="AN82" s="549"/>
      <c r="AO82" s="550"/>
      <c r="AP82" s="550"/>
      <c r="AQ82" s="549"/>
      <c r="AR82" s="550"/>
      <c r="AS82" s="550"/>
      <c r="AT82" s="549"/>
      <c r="AU82" s="550"/>
      <c r="AV82" s="550"/>
      <c r="AW82" s="549"/>
      <c r="AX82" s="550"/>
      <c r="AY82" s="550"/>
      <c r="AZ82" s="549"/>
      <c r="BA82" s="550"/>
      <c r="BB82" s="550"/>
      <c r="BC82" s="550"/>
    </row>
    <row r="83" spans="1:55" s="491" customFormat="1">
      <c r="A83" s="531" t="str">
        <f t="shared" si="6"/>
        <v>CP</v>
      </c>
      <c r="B83" s="50" t="str">
        <f t="shared" si="7"/>
        <v>Div12</v>
      </c>
      <c r="C83" s="50" t="s">
        <v>260</v>
      </c>
      <c r="D83" s="532" t="s">
        <v>146</v>
      </c>
      <c r="E83" s="50" t="s">
        <v>53</v>
      </c>
      <c r="F83" s="535" t="str">
        <f>R.8BudDevName3</f>
        <v xml:space="preserve"> </v>
      </c>
      <c r="G83" s="543">
        <f>R.8BudDevHrs3</f>
        <v>0</v>
      </c>
      <c r="H83" s="544">
        <f>Table3[[#This Row],[Hrs Rank]]</f>
        <v>0</v>
      </c>
      <c r="I83" s="534">
        <f t="shared" si="8"/>
        <v>0</v>
      </c>
      <c r="J83" s="534">
        <f t="shared" si="9"/>
        <v>0</v>
      </c>
      <c r="K83" s="546"/>
      <c r="L83" s="546"/>
      <c r="M83" s="547" t="s">
        <v>228</v>
      </c>
      <c r="N83" s="547" t="s">
        <v>228</v>
      </c>
      <c r="O83" s="548"/>
      <c r="P83" s="549"/>
      <c r="Q83" s="550"/>
      <c r="R83" s="550"/>
      <c r="S83" s="549"/>
      <c r="T83" s="550"/>
      <c r="U83" s="550"/>
      <c r="V83" s="549"/>
      <c r="W83" s="550"/>
      <c r="X83" s="550"/>
      <c r="Y83" s="549"/>
      <c r="Z83" s="550"/>
      <c r="AA83" s="550"/>
      <c r="AB83" s="549"/>
      <c r="AC83" s="550"/>
      <c r="AD83" s="550"/>
      <c r="AE83" s="549"/>
      <c r="AF83" s="550"/>
      <c r="AG83" s="550"/>
      <c r="AH83" s="549"/>
      <c r="AI83" s="550"/>
      <c r="AJ83" s="550"/>
      <c r="AK83" s="549"/>
      <c r="AL83" s="550"/>
      <c r="AM83" s="550"/>
      <c r="AN83" s="549"/>
      <c r="AO83" s="550"/>
      <c r="AP83" s="550"/>
      <c r="AQ83" s="549"/>
      <c r="AR83" s="550"/>
      <c r="AS83" s="550"/>
      <c r="AT83" s="549"/>
      <c r="AU83" s="550"/>
      <c r="AV83" s="550"/>
      <c r="AW83" s="549"/>
      <c r="AX83" s="550"/>
      <c r="AY83" s="550"/>
      <c r="AZ83" s="549"/>
      <c r="BA83" s="550"/>
      <c r="BB83" s="550"/>
      <c r="BC83" s="550"/>
    </row>
    <row r="84" spans="1:55" s="491" customFormat="1">
      <c r="A84" s="531" t="str">
        <f t="shared" si="6"/>
        <v>CP</v>
      </c>
      <c r="B84" s="50" t="str">
        <f t="shared" si="7"/>
        <v>Div12</v>
      </c>
      <c r="C84" s="50" t="s">
        <v>260</v>
      </c>
      <c r="D84" s="532" t="s">
        <v>146</v>
      </c>
      <c r="E84" s="50" t="s">
        <v>53</v>
      </c>
      <c r="F84" s="535" t="str">
        <f>R.8BudDevName4</f>
        <v xml:space="preserve"> </v>
      </c>
      <c r="G84" s="543">
        <f>R.8BudDevHrs4</f>
        <v>0</v>
      </c>
      <c r="H84" s="544">
        <f>Table3[[#This Row],[Hrs Rank]]</f>
        <v>0</v>
      </c>
      <c r="I84" s="534">
        <f t="shared" si="8"/>
        <v>0</v>
      </c>
      <c r="J84" s="534">
        <f t="shared" si="9"/>
        <v>0</v>
      </c>
      <c r="K84" s="546"/>
      <c r="L84" s="546"/>
      <c r="M84" s="547" t="s">
        <v>228</v>
      </c>
      <c r="N84" s="547" t="s">
        <v>228</v>
      </c>
      <c r="O84" s="548"/>
      <c r="P84" s="549"/>
      <c r="Q84" s="550"/>
      <c r="R84" s="550"/>
      <c r="S84" s="549"/>
      <c r="T84" s="550"/>
      <c r="U84" s="550"/>
      <c r="V84" s="549"/>
      <c r="W84" s="550"/>
      <c r="X84" s="550"/>
      <c r="Y84" s="549"/>
      <c r="Z84" s="550"/>
      <c r="AA84" s="550"/>
      <c r="AB84" s="549"/>
      <c r="AC84" s="550"/>
      <c r="AD84" s="550"/>
      <c r="AE84" s="549"/>
      <c r="AF84" s="550"/>
      <c r="AG84" s="550"/>
      <c r="AH84" s="549"/>
      <c r="AI84" s="550"/>
      <c r="AJ84" s="550"/>
      <c r="AK84" s="549"/>
      <c r="AL84" s="550"/>
      <c r="AM84" s="550"/>
      <c r="AN84" s="549"/>
      <c r="AO84" s="550"/>
      <c r="AP84" s="550"/>
      <c r="AQ84" s="549"/>
      <c r="AR84" s="550"/>
      <c r="AS84" s="550"/>
      <c r="AT84" s="549"/>
      <c r="AU84" s="550"/>
      <c r="AV84" s="550"/>
      <c r="AW84" s="549"/>
      <c r="AX84" s="550"/>
      <c r="AY84" s="550"/>
      <c r="AZ84" s="549"/>
      <c r="BA84" s="550"/>
      <c r="BB84" s="550"/>
      <c r="BC84" s="550"/>
    </row>
    <row r="85" spans="1:55" s="491" customFormat="1">
      <c r="A85" s="531" t="str">
        <f t="shared" si="6"/>
        <v>CP</v>
      </c>
      <c r="B85" s="50" t="str">
        <f t="shared" si="7"/>
        <v>Div12</v>
      </c>
      <c r="C85" s="50" t="s">
        <v>260</v>
      </c>
      <c r="D85" s="532" t="s">
        <v>146</v>
      </c>
      <c r="E85" s="50" t="s">
        <v>52</v>
      </c>
      <c r="F85" s="535" t="str">
        <f>R.8BudImpName1</f>
        <v xml:space="preserve"> </v>
      </c>
      <c r="G85" s="543">
        <f>R.8BudImpHrs1</f>
        <v>0</v>
      </c>
      <c r="H85" s="544">
        <f>Table3[[#This Row],[Hrs Rank]]</f>
        <v>0</v>
      </c>
      <c r="I85" s="534">
        <f t="shared" si="8"/>
        <v>0</v>
      </c>
      <c r="J85" s="534">
        <f t="shared" si="9"/>
        <v>0</v>
      </c>
      <c r="K85" s="546"/>
      <c r="L85" s="546"/>
      <c r="M85" s="547" t="s">
        <v>228</v>
      </c>
      <c r="N85" s="547" t="s">
        <v>228</v>
      </c>
      <c r="O85" s="548"/>
      <c r="P85" s="549"/>
      <c r="Q85" s="550"/>
      <c r="R85" s="550"/>
      <c r="S85" s="549"/>
      <c r="T85" s="550"/>
      <c r="U85" s="550"/>
      <c r="V85" s="549"/>
      <c r="W85" s="550"/>
      <c r="X85" s="550"/>
      <c r="Y85" s="549"/>
      <c r="Z85" s="550"/>
      <c r="AA85" s="550"/>
      <c r="AB85" s="549"/>
      <c r="AC85" s="550"/>
      <c r="AD85" s="550"/>
      <c r="AE85" s="549"/>
      <c r="AF85" s="550"/>
      <c r="AG85" s="550"/>
      <c r="AH85" s="549"/>
      <c r="AI85" s="550"/>
      <c r="AJ85" s="550"/>
      <c r="AK85" s="549"/>
      <c r="AL85" s="550"/>
      <c r="AM85" s="550"/>
      <c r="AN85" s="549"/>
      <c r="AO85" s="550"/>
      <c r="AP85" s="550"/>
      <c r="AQ85" s="549"/>
      <c r="AR85" s="550"/>
      <c r="AS85" s="550"/>
      <c r="AT85" s="549"/>
      <c r="AU85" s="550"/>
      <c r="AV85" s="550"/>
      <c r="AW85" s="549"/>
      <c r="AX85" s="550"/>
      <c r="AY85" s="550"/>
      <c r="AZ85" s="549"/>
      <c r="BA85" s="550"/>
      <c r="BB85" s="550"/>
      <c r="BC85" s="550"/>
    </row>
    <row r="86" spans="1:55" s="491" customFormat="1">
      <c r="A86" s="531" t="str">
        <f t="shared" si="6"/>
        <v>CP</v>
      </c>
      <c r="B86" s="50" t="str">
        <f t="shared" si="7"/>
        <v>Div12</v>
      </c>
      <c r="C86" s="50" t="s">
        <v>260</v>
      </c>
      <c r="D86" s="532" t="s">
        <v>146</v>
      </c>
      <c r="E86" s="50" t="s">
        <v>52</v>
      </c>
      <c r="F86" s="535" t="str">
        <f>R.8BudImpName2</f>
        <v xml:space="preserve"> </v>
      </c>
      <c r="G86" s="543">
        <f>R.8BudImpHrs2</f>
        <v>0</v>
      </c>
      <c r="H86" s="544">
        <f>Table3[[#This Row],[Hrs Rank]]</f>
        <v>0</v>
      </c>
      <c r="I86" s="534">
        <f t="shared" si="8"/>
        <v>0</v>
      </c>
      <c r="J86" s="534">
        <f t="shared" si="9"/>
        <v>0</v>
      </c>
      <c r="K86" s="546"/>
      <c r="L86" s="546"/>
      <c r="M86" s="547" t="s">
        <v>228</v>
      </c>
      <c r="N86" s="547" t="s">
        <v>228</v>
      </c>
      <c r="O86" s="548"/>
      <c r="P86" s="549"/>
      <c r="Q86" s="550"/>
      <c r="R86" s="550"/>
      <c r="S86" s="549"/>
      <c r="T86" s="550"/>
      <c r="U86" s="550"/>
      <c r="V86" s="549"/>
      <c r="W86" s="550"/>
      <c r="X86" s="550"/>
      <c r="Y86" s="549"/>
      <c r="Z86" s="550"/>
      <c r="AA86" s="550"/>
      <c r="AB86" s="549"/>
      <c r="AC86" s="550"/>
      <c r="AD86" s="550"/>
      <c r="AE86" s="549"/>
      <c r="AF86" s="550"/>
      <c r="AG86" s="550"/>
      <c r="AH86" s="549"/>
      <c r="AI86" s="550"/>
      <c r="AJ86" s="550"/>
      <c r="AK86" s="549"/>
      <c r="AL86" s="550"/>
      <c r="AM86" s="550"/>
      <c r="AN86" s="549"/>
      <c r="AO86" s="550"/>
      <c r="AP86" s="550"/>
      <c r="AQ86" s="549"/>
      <c r="AR86" s="550"/>
      <c r="AS86" s="550"/>
      <c r="AT86" s="549"/>
      <c r="AU86" s="550"/>
      <c r="AV86" s="550"/>
      <c r="AW86" s="549"/>
      <c r="AX86" s="550"/>
      <c r="AY86" s="550"/>
      <c r="AZ86" s="549"/>
      <c r="BA86" s="550"/>
      <c r="BB86" s="550"/>
      <c r="BC86" s="550"/>
    </row>
    <row r="87" spans="1:55" s="491" customFormat="1">
      <c r="A87" s="531" t="str">
        <f t="shared" si="6"/>
        <v>CP</v>
      </c>
      <c r="B87" s="50" t="str">
        <f t="shared" si="7"/>
        <v>Div12</v>
      </c>
      <c r="C87" s="50" t="s">
        <v>260</v>
      </c>
      <c r="D87" s="532" t="s">
        <v>146</v>
      </c>
      <c r="E87" s="50" t="s">
        <v>52</v>
      </c>
      <c r="F87" s="535" t="str">
        <f>R.8BudImpName3</f>
        <v xml:space="preserve"> </v>
      </c>
      <c r="G87" s="543">
        <f>R.8BudImpHrs3</f>
        <v>0</v>
      </c>
      <c r="H87" s="544">
        <f>Table3[[#This Row],[Hrs Rank]]</f>
        <v>0</v>
      </c>
      <c r="I87" s="534">
        <f t="shared" si="8"/>
        <v>0</v>
      </c>
      <c r="J87" s="534">
        <f t="shared" si="9"/>
        <v>0</v>
      </c>
      <c r="K87" s="546"/>
      <c r="L87" s="546"/>
      <c r="M87" s="547" t="s">
        <v>228</v>
      </c>
      <c r="N87" s="547" t="s">
        <v>228</v>
      </c>
      <c r="O87" s="548"/>
      <c r="P87" s="549"/>
      <c r="Q87" s="550"/>
      <c r="R87" s="550"/>
      <c r="S87" s="549"/>
      <c r="T87" s="550"/>
      <c r="U87" s="550"/>
      <c r="V87" s="549"/>
      <c r="W87" s="550"/>
      <c r="X87" s="550"/>
      <c r="Y87" s="549"/>
      <c r="Z87" s="550"/>
      <c r="AA87" s="550"/>
      <c r="AB87" s="549"/>
      <c r="AC87" s="550"/>
      <c r="AD87" s="550"/>
      <c r="AE87" s="549"/>
      <c r="AF87" s="550"/>
      <c r="AG87" s="550"/>
      <c r="AH87" s="549"/>
      <c r="AI87" s="550"/>
      <c r="AJ87" s="550"/>
      <c r="AK87" s="549"/>
      <c r="AL87" s="550"/>
      <c r="AM87" s="550"/>
      <c r="AN87" s="549"/>
      <c r="AO87" s="550"/>
      <c r="AP87" s="550"/>
      <c r="AQ87" s="549"/>
      <c r="AR87" s="550"/>
      <c r="AS87" s="550"/>
      <c r="AT87" s="549"/>
      <c r="AU87" s="550"/>
      <c r="AV87" s="550"/>
      <c r="AW87" s="549"/>
      <c r="AX87" s="550"/>
      <c r="AY87" s="550"/>
      <c r="AZ87" s="549"/>
      <c r="BA87" s="550"/>
      <c r="BB87" s="550"/>
      <c r="BC87" s="550"/>
    </row>
    <row r="88" spans="1:55" s="491" customFormat="1">
      <c r="A88" s="531" t="str">
        <f t="shared" si="6"/>
        <v>CP</v>
      </c>
      <c r="B88" s="50" t="str">
        <f t="shared" si="7"/>
        <v>Div12</v>
      </c>
      <c r="C88" s="50" t="s">
        <v>260</v>
      </c>
      <c r="D88" s="532" t="s">
        <v>146</v>
      </c>
      <c r="E88" s="50" t="s">
        <v>52</v>
      </c>
      <c r="F88" s="535" t="str">
        <f>R.8BudImpName4</f>
        <v xml:space="preserve"> </v>
      </c>
      <c r="G88" s="543">
        <f>R.8BudImpHrs4</f>
        <v>0</v>
      </c>
      <c r="H88" s="544">
        <f>Table3[[#This Row],[Hrs Rank]]</f>
        <v>0</v>
      </c>
      <c r="I88" s="534">
        <f t="shared" si="8"/>
        <v>0</v>
      </c>
      <c r="J88" s="534">
        <f t="shared" si="9"/>
        <v>0</v>
      </c>
      <c r="K88" s="546"/>
      <c r="L88" s="546"/>
      <c r="M88" s="547" t="s">
        <v>228</v>
      </c>
      <c r="N88" s="547" t="s">
        <v>228</v>
      </c>
      <c r="O88" s="548"/>
      <c r="P88" s="549"/>
      <c r="Q88" s="550"/>
      <c r="R88" s="550"/>
      <c r="S88" s="549"/>
      <c r="T88" s="550"/>
      <c r="U88" s="550"/>
      <c r="V88" s="549"/>
      <c r="W88" s="550"/>
      <c r="X88" s="550"/>
      <c r="Y88" s="549"/>
      <c r="Z88" s="550"/>
      <c r="AA88" s="550"/>
      <c r="AB88" s="549"/>
      <c r="AC88" s="550"/>
      <c r="AD88" s="550"/>
      <c r="AE88" s="549"/>
      <c r="AF88" s="550"/>
      <c r="AG88" s="550"/>
      <c r="AH88" s="549"/>
      <c r="AI88" s="550"/>
      <c r="AJ88" s="550"/>
      <c r="AK88" s="549"/>
      <c r="AL88" s="550"/>
      <c r="AM88" s="550"/>
      <c r="AN88" s="549"/>
      <c r="AO88" s="550"/>
      <c r="AP88" s="550"/>
      <c r="AQ88" s="549"/>
      <c r="AR88" s="550"/>
      <c r="AS88" s="550"/>
      <c r="AT88" s="549"/>
      <c r="AU88" s="550"/>
      <c r="AV88" s="550"/>
      <c r="AW88" s="549"/>
      <c r="AX88" s="550"/>
      <c r="AY88" s="550"/>
      <c r="AZ88" s="549"/>
      <c r="BA88" s="550"/>
      <c r="BB88" s="550"/>
      <c r="BC88" s="550"/>
    </row>
    <row r="89" spans="1:55" s="491" customFormat="1">
      <c r="A89" s="531" t="str">
        <f t="shared" si="6"/>
        <v>CP</v>
      </c>
      <c r="B89" s="50" t="str">
        <f t="shared" si="7"/>
        <v>Div12</v>
      </c>
      <c r="C89" s="50" t="s">
        <v>260</v>
      </c>
      <c r="D89" s="532" t="s">
        <v>144</v>
      </c>
      <c r="E89" s="50" t="s">
        <v>53</v>
      </c>
      <c r="F89" s="535" t="str">
        <f>R.8AcctDevName1</f>
        <v xml:space="preserve"> </v>
      </c>
      <c r="G89" s="543">
        <f>R.8AcctDevHrs1</f>
        <v>0</v>
      </c>
      <c r="H89" s="544">
        <f>Table3[[#This Row],[Hrs Rank]]</f>
        <v>0</v>
      </c>
      <c r="I89" s="534">
        <f t="shared" si="8"/>
        <v>0</v>
      </c>
      <c r="J89" s="534">
        <f t="shared" si="9"/>
        <v>0</v>
      </c>
      <c r="K89" s="546"/>
      <c r="L89" s="546"/>
      <c r="M89" s="547" t="s">
        <v>228</v>
      </c>
      <c r="N89" s="547" t="s">
        <v>228</v>
      </c>
      <c r="O89" s="548"/>
      <c r="P89" s="549"/>
      <c r="Q89" s="550"/>
      <c r="R89" s="550"/>
      <c r="S89" s="549"/>
      <c r="T89" s="550"/>
      <c r="U89" s="550"/>
      <c r="V89" s="549"/>
      <c r="W89" s="550"/>
      <c r="X89" s="550"/>
      <c r="Y89" s="549"/>
      <c r="Z89" s="550"/>
      <c r="AA89" s="550"/>
      <c r="AB89" s="549"/>
      <c r="AC89" s="550"/>
      <c r="AD89" s="550"/>
      <c r="AE89" s="549"/>
      <c r="AF89" s="550"/>
      <c r="AG89" s="550"/>
      <c r="AH89" s="549"/>
      <c r="AI89" s="550"/>
      <c r="AJ89" s="550"/>
      <c r="AK89" s="549"/>
      <c r="AL89" s="550"/>
      <c r="AM89" s="550"/>
      <c r="AN89" s="549"/>
      <c r="AO89" s="550"/>
      <c r="AP89" s="550"/>
      <c r="AQ89" s="549"/>
      <c r="AR89" s="550"/>
      <c r="AS89" s="550"/>
      <c r="AT89" s="549"/>
      <c r="AU89" s="550"/>
      <c r="AV89" s="550"/>
      <c r="AW89" s="549"/>
      <c r="AX89" s="550"/>
      <c r="AY89" s="550"/>
      <c r="AZ89" s="549"/>
      <c r="BA89" s="550"/>
      <c r="BB89" s="550"/>
      <c r="BC89" s="550"/>
    </row>
    <row r="90" spans="1:55" s="491" customFormat="1">
      <c r="A90" s="531" t="str">
        <f t="shared" si="6"/>
        <v>CP</v>
      </c>
      <c r="B90" s="50" t="str">
        <f t="shared" si="7"/>
        <v>Div12</v>
      </c>
      <c r="C90" s="50" t="s">
        <v>260</v>
      </c>
      <c r="D90" s="532" t="s">
        <v>144</v>
      </c>
      <c r="E90" s="50" t="s">
        <v>53</v>
      </c>
      <c r="F90" s="535" t="str">
        <f>R.8AcctDevName2</f>
        <v xml:space="preserve"> </v>
      </c>
      <c r="G90" s="543">
        <f>R.8AcctDevHrs2</f>
        <v>0</v>
      </c>
      <c r="H90" s="544">
        <f>Table3[[#This Row],[Hrs Rank]]</f>
        <v>0</v>
      </c>
      <c r="I90" s="534">
        <f t="shared" si="8"/>
        <v>0</v>
      </c>
      <c r="J90" s="534">
        <f t="shared" si="9"/>
        <v>0</v>
      </c>
      <c r="K90" s="546"/>
      <c r="L90" s="546"/>
      <c r="M90" s="547" t="s">
        <v>228</v>
      </c>
      <c r="N90" s="547" t="s">
        <v>228</v>
      </c>
      <c r="O90" s="548"/>
      <c r="P90" s="549"/>
      <c r="Q90" s="550"/>
      <c r="R90" s="550"/>
      <c r="S90" s="549"/>
      <c r="T90" s="550"/>
      <c r="U90" s="550"/>
      <c r="V90" s="549"/>
      <c r="W90" s="550"/>
      <c r="X90" s="550"/>
      <c r="Y90" s="549"/>
      <c r="Z90" s="550"/>
      <c r="AA90" s="550"/>
      <c r="AB90" s="549"/>
      <c r="AC90" s="550"/>
      <c r="AD90" s="550"/>
      <c r="AE90" s="549"/>
      <c r="AF90" s="550"/>
      <c r="AG90" s="550"/>
      <c r="AH90" s="549"/>
      <c r="AI90" s="550"/>
      <c r="AJ90" s="550"/>
      <c r="AK90" s="549"/>
      <c r="AL90" s="550"/>
      <c r="AM90" s="550"/>
      <c r="AN90" s="549"/>
      <c r="AO90" s="550"/>
      <c r="AP90" s="550"/>
      <c r="AQ90" s="549"/>
      <c r="AR90" s="550"/>
      <c r="AS90" s="550"/>
      <c r="AT90" s="549"/>
      <c r="AU90" s="550"/>
      <c r="AV90" s="550"/>
      <c r="AW90" s="549"/>
      <c r="AX90" s="550"/>
      <c r="AY90" s="550"/>
      <c r="AZ90" s="549"/>
      <c r="BA90" s="550"/>
      <c r="BB90" s="550"/>
      <c r="BC90" s="550"/>
    </row>
    <row r="91" spans="1:55" s="491" customFormat="1">
      <c r="A91" s="531" t="str">
        <f t="shared" si="6"/>
        <v>CP</v>
      </c>
      <c r="B91" s="50" t="str">
        <f t="shared" si="7"/>
        <v>Div12</v>
      </c>
      <c r="C91" s="50" t="s">
        <v>260</v>
      </c>
      <c r="D91" s="532" t="s">
        <v>144</v>
      </c>
      <c r="E91" s="50" t="s">
        <v>53</v>
      </c>
      <c r="F91" s="535" t="str">
        <f>R.8AcctDevName3</f>
        <v xml:space="preserve"> </v>
      </c>
      <c r="G91" s="543">
        <f>R.8AcctDevHrs3</f>
        <v>0</v>
      </c>
      <c r="H91" s="544">
        <f>Table3[[#This Row],[Hrs Rank]]</f>
        <v>0</v>
      </c>
      <c r="I91" s="534">
        <f t="shared" si="8"/>
        <v>0</v>
      </c>
      <c r="J91" s="534">
        <f t="shared" si="9"/>
        <v>0</v>
      </c>
      <c r="K91" s="546"/>
      <c r="L91" s="546"/>
      <c r="M91" s="547" t="s">
        <v>228</v>
      </c>
      <c r="N91" s="547" t="s">
        <v>228</v>
      </c>
      <c r="O91" s="548"/>
      <c r="P91" s="549"/>
      <c r="Q91" s="550"/>
      <c r="R91" s="550"/>
      <c r="S91" s="549"/>
      <c r="T91" s="550"/>
      <c r="U91" s="550"/>
      <c r="V91" s="549"/>
      <c r="W91" s="550"/>
      <c r="X91" s="550"/>
      <c r="Y91" s="549"/>
      <c r="Z91" s="550"/>
      <c r="AA91" s="550"/>
      <c r="AB91" s="549"/>
      <c r="AC91" s="550"/>
      <c r="AD91" s="550"/>
      <c r="AE91" s="549"/>
      <c r="AF91" s="550"/>
      <c r="AG91" s="550"/>
      <c r="AH91" s="549"/>
      <c r="AI91" s="550"/>
      <c r="AJ91" s="550"/>
      <c r="AK91" s="549"/>
      <c r="AL91" s="550"/>
      <c r="AM91" s="550"/>
      <c r="AN91" s="549"/>
      <c r="AO91" s="550"/>
      <c r="AP91" s="550"/>
      <c r="AQ91" s="549"/>
      <c r="AR91" s="550"/>
      <c r="AS91" s="550"/>
      <c r="AT91" s="549"/>
      <c r="AU91" s="550"/>
      <c r="AV91" s="550"/>
      <c r="AW91" s="549"/>
      <c r="AX91" s="550"/>
      <c r="AY91" s="550"/>
      <c r="AZ91" s="549"/>
      <c r="BA91" s="550"/>
      <c r="BB91" s="550"/>
      <c r="BC91" s="550"/>
    </row>
    <row r="92" spans="1:55">
      <c r="A92" s="531" t="str">
        <f t="shared" si="6"/>
        <v>CP</v>
      </c>
      <c r="B92" s="50" t="str">
        <f t="shared" si="7"/>
        <v>Div12</v>
      </c>
      <c r="C92" s="50" t="s">
        <v>260</v>
      </c>
      <c r="D92" s="532" t="s">
        <v>144</v>
      </c>
      <c r="E92" s="50" t="s">
        <v>53</v>
      </c>
      <c r="F92" s="535" t="str">
        <f>R.8AcctDevName4</f>
        <v xml:space="preserve"> </v>
      </c>
      <c r="G92" s="543">
        <f>R.8AcctDevHrs4</f>
        <v>0</v>
      </c>
      <c r="H92" s="544">
        <f>Table3[[#This Row],[Hrs Rank]]</f>
        <v>0</v>
      </c>
      <c r="I92" s="534">
        <f t="shared" si="8"/>
        <v>0</v>
      </c>
      <c r="J92" s="534">
        <f t="shared" si="9"/>
        <v>0</v>
      </c>
      <c r="K92" s="546"/>
      <c r="L92" s="546"/>
      <c r="M92" s="547" t="s">
        <v>228</v>
      </c>
      <c r="N92" s="547" t="s">
        <v>228</v>
      </c>
      <c r="O92" s="548"/>
      <c r="P92" s="549"/>
      <c r="Q92" s="550"/>
      <c r="R92" s="550"/>
      <c r="S92" s="549"/>
      <c r="T92" s="550"/>
      <c r="U92" s="550"/>
      <c r="V92" s="549"/>
      <c r="W92" s="550"/>
      <c r="X92" s="550"/>
      <c r="Y92" s="549"/>
      <c r="Z92" s="550"/>
      <c r="AA92" s="550"/>
      <c r="AB92" s="549"/>
      <c r="AC92" s="550"/>
      <c r="AD92" s="550"/>
      <c r="AE92" s="549"/>
      <c r="AF92" s="550"/>
      <c r="AG92" s="550"/>
      <c r="AH92" s="549"/>
      <c r="AI92" s="550"/>
      <c r="AJ92" s="550"/>
      <c r="AK92" s="549"/>
      <c r="AL92" s="550"/>
      <c r="AM92" s="550"/>
      <c r="AN92" s="549"/>
      <c r="AO92" s="550"/>
      <c r="AP92" s="550"/>
      <c r="AQ92" s="549"/>
      <c r="AR92" s="550"/>
      <c r="AS92" s="550"/>
      <c r="AT92" s="549"/>
      <c r="AU92" s="550"/>
      <c r="AV92" s="550"/>
      <c r="AW92" s="549"/>
      <c r="AX92" s="550"/>
      <c r="AY92" s="550"/>
      <c r="AZ92" s="549"/>
      <c r="BA92" s="550"/>
      <c r="BB92" s="550"/>
      <c r="BC92" s="550"/>
    </row>
    <row r="93" spans="1:55">
      <c r="A93" s="531" t="str">
        <f t="shared" si="6"/>
        <v>CP</v>
      </c>
      <c r="B93" s="50" t="str">
        <f t="shared" si="7"/>
        <v>Div12</v>
      </c>
      <c r="C93" s="50" t="s">
        <v>260</v>
      </c>
      <c r="D93" s="532" t="s">
        <v>144</v>
      </c>
      <c r="E93" s="50" t="s">
        <v>52</v>
      </c>
      <c r="F93" s="535">
        <f>R.8AcctImpName1</f>
        <v>0</v>
      </c>
      <c r="G93" s="543">
        <f>R.8AcctImpHrs1</f>
        <v>0</v>
      </c>
      <c r="H93" s="544">
        <f>Table3[[#This Row],[Hrs Rank]]</f>
        <v>0</v>
      </c>
      <c r="I93" s="534">
        <f t="shared" si="8"/>
        <v>0</v>
      </c>
      <c r="J93" s="534">
        <f t="shared" si="9"/>
        <v>0</v>
      </c>
      <c r="K93" s="546"/>
      <c r="L93" s="546"/>
      <c r="M93" s="547" t="s">
        <v>228</v>
      </c>
      <c r="N93" s="547" t="s">
        <v>228</v>
      </c>
      <c r="O93" s="548"/>
      <c r="P93" s="549"/>
      <c r="Q93" s="550"/>
      <c r="R93" s="550"/>
      <c r="S93" s="549"/>
      <c r="T93" s="550"/>
      <c r="U93" s="550"/>
      <c r="V93" s="549"/>
      <c r="W93" s="550"/>
      <c r="X93" s="550"/>
      <c r="Y93" s="549"/>
      <c r="Z93" s="550"/>
      <c r="AA93" s="550"/>
      <c r="AB93" s="549"/>
      <c r="AC93" s="550"/>
      <c r="AD93" s="550"/>
      <c r="AE93" s="549"/>
      <c r="AF93" s="550"/>
      <c r="AG93" s="550"/>
      <c r="AH93" s="549"/>
      <c r="AI93" s="550"/>
      <c r="AJ93" s="550"/>
      <c r="AK93" s="549"/>
      <c r="AL93" s="550"/>
      <c r="AM93" s="550"/>
      <c r="AN93" s="549"/>
      <c r="AO93" s="550"/>
      <c r="AP93" s="550"/>
      <c r="AQ93" s="549"/>
      <c r="AR93" s="550"/>
      <c r="AS93" s="550"/>
      <c r="AT93" s="549"/>
      <c r="AU93" s="550"/>
      <c r="AV93" s="550"/>
      <c r="AW93" s="549"/>
      <c r="AX93" s="550"/>
      <c r="AY93" s="550"/>
      <c r="AZ93" s="549"/>
      <c r="BA93" s="550"/>
      <c r="BB93" s="550"/>
      <c r="BC93" s="550"/>
    </row>
    <row r="94" spans="1:55">
      <c r="A94" s="531" t="str">
        <f t="shared" si="6"/>
        <v>CP</v>
      </c>
      <c r="B94" s="50" t="str">
        <f t="shared" si="7"/>
        <v>Div12</v>
      </c>
      <c r="C94" s="50" t="s">
        <v>260</v>
      </c>
      <c r="D94" s="532" t="s">
        <v>144</v>
      </c>
      <c r="E94" s="50" t="s">
        <v>52</v>
      </c>
      <c r="F94" s="535" t="str">
        <f>R.8AcctImpName2</f>
        <v xml:space="preserve"> </v>
      </c>
      <c r="G94" s="543">
        <f>R.8AcctImpHrs2</f>
        <v>0</v>
      </c>
      <c r="H94" s="544">
        <f>Table3[[#This Row],[Hrs Rank]]</f>
        <v>0</v>
      </c>
      <c r="I94" s="534">
        <f t="shared" si="8"/>
        <v>0</v>
      </c>
      <c r="J94" s="534">
        <f t="shared" si="9"/>
        <v>0</v>
      </c>
      <c r="K94" s="546"/>
      <c r="L94" s="546"/>
      <c r="M94" s="547" t="s">
        <v>228</v>
      </c>
      <c r="N94" s="547" t="s">
        <v>228</v>
      </c>
      <c r="O94" s="548"/>
      <c r="P94" s="549"/>
      <c r="Q94" s="550"/>
      <c r="R94" s="550"/>
      <c r="S94" s="549"/>
      <c r="T94" s="550"/>
      <c r="U94" s="550"/>
      <c r="V94" s="549"/>
      <c r="W94" s="550"/>
      <c r="X94" s="550"/>
      <c r="Y94" s="549"/>
      <c r="Z94" s="550"/>
      <c r="AA94" s="550"/>
      <c r="AB94" s="549"/>
      <c r="AC94" s="550"/>
      <c r="AD94" s="550"/>
      <c r="AE94" s="549"/>
      <c r="AF94" s="550"/>
      <c r="AG94" s="550"/>
      <c r="AH94" s="549"/>
      <c r="AI94" s="550"/>
      <c r="AJ94" s="550"/>
      <c r="AK94" s="549"/>
      <c r="AL94" s="550"/>
      <c r="AM94" s="550"/>
      <c r="AN94" s="549"/>
      <c r="AO94" s="550"/>
      <c r="AP94" s="550"/>
      <c r="AQ94" s="549"/>
      <c r="AR94" s="550"/>
      <c r="AS94" s="550"/>
      <c r="AT94" s="549"/>
      <c r="AU94" s="550"/>
      <c r="AV94" s="550"/>
      <c r="AW94" s="549"/>
      <c r="AX94" s="550"/>
      <c r="AY94" s="550"/>
      <c r="AZ94" s="549"/>
      <c r="BA94" s="550"/>
      <c r="BB94" s="550"/>
      <c r="BC94" s="550"/>
    </row>
    <row r="95" spans="1:55">
      <c r="A95" s="531" t="str">
        <f t="shared" si="6"/>
        <v>CP</v>
      </c>
      <c r="B95" s="50" t="str">
        <f t="shared" si="7"/>
        <v>Div12</v>
      </c>
      <c r="C95" s="50" t="s">
        <v>260</v>
      </c>
      <c r="D95" s="532" t="s">
        <v>144</v>
      </c>
      <c r="E95" s="50" t="s">
        <v>52</v>
      </c>
      <c r="F95" s="535" t="str">
        <f>R.8AcctImpName3</f>
        <v xml:space="preserve"> </v>
      </c>
      <c r="G95" s="543">
        <f>R.8AcctImpHrs3</f>
        <v>0</v>
      </c>
      <c r="H95" s="544">
        <f>Table3[[#This Row],[Hrs Rank]]</f>
        <v>0</v>
      </c>
      <c r="I95" s="534">
        <f t="shared" si="8"/>
        <v>0</v>
      </c>
      <c r="J95" s="534">
        <f t="shared" si="9"/>
        <v>0</v>
      </c>
      <c r="K95" s="546"/>
      <c r="L95" s="546"/>
      <c r="M95" s="547" t="s">
        <v>228</v>
      </c>
      <c r="N95" s="547" t="s">
        <v>228</v>
      </c>
      <c r="O95" s="548"/>
      <c r="P95" s="549"/>
      <c r="Q95" s="550"/>
      <c r="R95" s="550"/>
      <c r="S95" s="549"/>
      <c r="T95" s="550"/>
      <c r="U95" s="550"/>
      <c r="V95" s="549"/>
      <c r="W95" s="550"/>
      <c r="X95" s="550"/>
      <c r="Y95" s="549"/>
      <c r="Z95" s="550"/>
      <c r="AA95" s="550"/>
      <c r="AB95" s="549"/>
      <c r="AC95" s="550"/>
      <c r="AD95" s="550"/>
      <c r="AE95" s="549"/>
      <c r="AF95" s="550"/>
      <c r="AG95" s="550"/>
      <c r="AH95" s="549"/>
      <c r="AI95" s="550"/>
      <c r="AJ95" s="550"/>
      <c r="AK95" s="549"/>
      <c r="AL95" s="550"/>
      <c r="AM95" s="550"/>
      <c r="AN95" s="549"/>
      <c r="AO95" s="550"/>
      <c r="AP95" s="550"/>
      <c r="AQ95" s="549"/>
      <c r="AR95" s="550"/>
      <c r="AS95" s="550"/>
      <c r="AT95" s="549"/>
      <c r="AU95" s="550"/>
      <c r="AV95" s="550"/>
      <c r="AW95" s="549"/>
      <c r="AX95" s="550"/>
      <c r="AY95" s="550"/>
      <c r="AZ95" s="549"/>
      <c r="BA95" s="550"/>
      <c r="BB95" s="550"/>
      <c r="BC95" s="550"/>
    </row>
    <row r="96" spans="1:55">
      <c r="A96" s="531" t="str">
        <f t="shared" si="6"/>
        <v>CP</v>
      </c>
      <c r="B96" s="50" t="str">
        <f t="shared" si="7"/>
        <v>Div12</v>
      </c>
      <c r="C96" s="50" t="s">
        <v>260</v>
      </c>
      <c r="D96" s="532" t="s">
        <v>144</v>
      </c>
      <c r="E96" s="50" t="s">
        <v>52</v>
      </c>
      <c r="F96" s="535" t="str">
        <f>R.8AcctImpName4</f>
        <v xml:space="preserve"> </v>
      </c>
      <c r="G96" s="543">
        <f>R.8AcctImpHrs4</f>
        <v>0</v>
      </c>
      <c r="H96" s="544">
        <f>Table3[[#This Row],[Hrs Rank]]</f>
        <v>0</v>
      </c>
      <c r="I96" s="534">
        <f t="shared" si="8"/>
        <v>0</v>
      </c>
      <c r="J96" s="534">
        <f t="shared" si="9"/>
        <v>0</v>
      </c>
      <c r="K96" s="546"/>
      <c r="L96" s="546"/>
      <c r="M96" s="547" t="s">
        <v>228</v>
      </c>
      <c r="N96" s="547" t="s">
        <v>228</v>
      </c>
      <c r="O96" s="548"/>
      <c r="P96" s="549"/>
      <c r="Q96" s="550"/>
      <c r="R96" s="550"/>
      <c r="S96" s="549"/>
      <c r="T96" s="550"/>
      <c r="U96" s="550"/>
      <c r="V96" s="549"/>
      <c r="W96" s="550"/>
      <c r="X96" s="550"/>
      <c r="Y96" s="549"/>
      <c r="Z96" s="550"/>
      <c r="AA96" s="550"/>
      <c r="AB96" s="549"/>
      <c r="AC96" s="550"/>
      <c r="AD96" s="550"/>
      <c r="AE96" s="549"/>
      <c r="AF96" s="550"/>
      <c r="AG96" s="550"/>
      <c r="AH96" s="549"/>
      <c r="AI96" s="550"/>
      <c r="AJ96" s="550"/>
      <c r="AK96" s="549"/>
      <c r="AL96" s="550"/>
      <c r="AM96" s="550"/>
      <c r="AN96" s="549"/>
      <c r="AO96" s="550"/>
      <c r="AP96" s="550"/>
      <c r="AQ96" s="549"/>
      <c r="AR96" s="550"/>
      <c r="AS96" s="550"/>
      <c r="AT96" s="549"/>
      <c r="AU96" s="550"/>
      <c r="AV96" s="550"/>
      <c r="AW96" s="549"/>
      <c r="AX96" s="550"/>
      <c r="AY96" s="550"/>
      <c r="AZ96" s="549"/>
      <c r="BA96" s="550"/>
      <c r="BB96" s="550"/>
      <c r="BC96" s="550"/>
    </row>
    <row r="97" spans="1:55">
      <c r="A97" s="531" t="str">
        <f t="shared" si="6"/>
        <v>CP</v>
      </c>
      <c r="B97" s="50" t="str">
        <f t="shared" si="7"/>
        <v>Div12</v>
      </c>
      <c r="C97" s="50" t="s">
        <v>260</v>
      </c>
      <c r="D97" s="532" t="s">
        <v>145</v>
      </c>
      <c r="E97" s="50" t="s">
        <v>53</v>
      </c>
      <c r="F97" s="535">
        <f>R.8DContractDevName1</f>
        <v>0</v>
      </c>
      <c r="G97" s="543">
        <f>R.8DContractDevHrs1</f>
        <v>0</v>
      </c>
      <c r="H97" s="544">
        <f>Table3[[#This Row],[Hrs Rank]]</f>
        <v>0</v>
      </c>
      <c r="I97" s="534">
        <f t="shared" si="8"/>
        <v>0</v>
      </c>
      <c r="J97" s="534">
        <f t="shared" si="9"/>
        <v>0</v>
      </c>
      <c r="K97" s="546"/>
      <c r="L97" s="546"/>
      <c r="M97" s="547" t="s">
        <v>228</v>
      </c>
      <c r="N97" s="547" t="s">
        <v>228</v>
      </c>
      <c r="O97" s="548"/>
      <c r="P97" s="549"/>
      <c r="Q97" s="550"/>
      <c r="R97" s="550"/>
      <c r="S97" s="549"/>
      <c r="T97" s="550"/>
      <c r="U97" s="550"/>
      <c r="V97" s="549"/>
      <c r="W97" s="550"/>
      <c r="X97" s="550"/>
      <c r="Y97" s="549"/>
      <c r="Z97" s="550"/>
      <c r="AA97" s="550"/>
      <c r="AB97" s="549"/>
      <c r="AC97" s="550"/>
      <c r="AD97" s="550"/>
      <c r="AE97" s="549"/>
      <c r="AF97" s="550"/>
      <c r="AG97" s="550"/>
      <c r="AH97" s="549"/>
      <c r="AI97" s="550"/>
      <c r="AJ97" s="550"/>
      <c r="AK97" s="549"/>
      <c r="AL97" s="550"/>
      <c r="AM97" s="550"/>
      <c r="AN97" s="549"/>
      <c r="AO97" s="550"/>
      <c r="AP97" s="550"/>
      <c r="AQ97" s="549"/>
      <c r="AR97" s="550"/>
      <c r="AS97" s="550"/>
      <c r="AT97" s="549"/>
      <c r="AU97" s="550"/>
      <c r="AV97" s="550"/>
      <c r="AW97" s="549"/>
      <c r="AX97" s="550"/>
      <c r="AY97" s="550"/>
      <c r="AZ97" s="549"/>
      <c r="BA97" s="550"/>
      <c r="BB97" s="550"/>
      <c r="BC97" s="550"/>
    </row>
    <row r="98" spans="1:55">
      <c r="A98" s="531" t="str">
        <f t="shared" si="6"/>
        <v>CP</v>
      </c>
      <c r="B98" s="50" t="str">
        <f t="shared" si="7"/>
        <v>Div12</v>
      </c>
      <c r="C98" s="50" t="s">
        <v>260</v>
      </c>
      <c r="D98" s="532" t="s">
        <v>145</v>
      </c>
      <c r="E98" s="50" t="s">
        <v>53</v>
      </c>
      <c r="F98" s="535" t="str">
        <f>R.8DContractDevName2</f>
        <v xml:space="preserve"> </v>
      </c>
      <c r="G98" s="543">
        <f>R.8DContractDevHrs2</f>
        <v>0</v>
      </c>
      <c r="H98" s="544">
        <f>Table3[[#This Row],[Hrs Rank]]</f>
        <v>0</v>
      </c>
      <c r="I98" s="534">
        <f t="shared" si="8"/>
        <v>0</v>
      </c>
      <c r="J98" s="534">
        <f t="shared" si="9"/>
        <v>0</v>
      </c>
      <c r="K98" s="546"/>
      <c r="L98" s="546"/>
      <c r="M98" s="547" t="s">
        <v>228</v>
      </c>
      <c r="N98" s="547" t="s">
        <v>228</v>
      </c>
      <c r="O98" s="548"/>
      <c r="P98" s="549"/>
      <c r="Q98" s="550"/>
      <c r="R98" s="550"/>
      <c r="S98" s="549"/>
      <c r="T98" s="550"/>
      <c r="U98" s="550"/>
      <c r="V98" s="549"/>
      <c r="W98" s="550"/>
      <c r="X98" s="550"/>
      <c r="Y98" s="549"/>
      <c r="Z98" s="550"/>
      <c r="AA98" s="550"/>
      <c r="AB98" s="549"/>
      <c r="AC98" s="550"/>
      <c r="AD98" s="550"/>
      <c r="AE98" s="549"/>
      <c r="AF98" s="550"/>
      <c r="AG98" s="550"/>
      <c r="AH98" s="549"/>
      <c r="AI98" s="550"/>
      <c r="AJ98" s="550"/>
      <c r="AK98" s="549"/>
      <c r="AL98" s="550"/>
      <c r="AM98" s="550"/>
      <c r="AN98" s="549"/>
      <c r="AO98" s="550"/>
      <c r="AP98" s="550"/>
      <c r="AQ98" s="549"/>
      <c r="AR98" s="550"/>
      <c r="AS98" s="550"/>
      <c r="AT98" s="549"/>
      <c r="AU98" s="550"/>
      <c r="AV98" s="550"/>
      <c r="AW98" s="549"/>
      <c r="AX98" s="550"/>
      <c r="AY98" s="550"/>
      <c r="AZ98" s="549"/>
      <c r="BA98" s="550"/>
      <c r="BB98" s="550"/>
      <c r="BC98" s="550"/>
    </row>
    <row r="99" spans="1:55">
      <c r="A99" s="531" t="str">
        <f t="shared" ref="A99:A112" si="10">R.1Division</f>
        <v>CP</v>
      </c>
      <c r="B99" s="50" t="str">
        <f t="shared" ref="B99:B112" si="11">R.1CodeName</f>
        <v>Div12</v>
      </c>
      <c r="C99" s="50" t="s">
        <v>260</v>
      </c>
      <c r="D99" s="532" t="s">
        <v>145</v>
      </c>
      <c r="E99" s="50" t="s">
        <v>53</v>
      </c>
      <c r="F99" s="535" t="str">
        <f>R.8DContractDevName3</f>
        <v xml:space="preserve"> </v>
      </c>
      <c r="G99" s="543">
        <f>R.8DContractDevHrs3</f>
        <v>0</v>
      </c>
      <c r="H99" s="544">
        <f>Table3[[#This Row],[Hrs Rank]]</f>
        <v>0</v>
      </c>
      <c r="I99" s="534">
        <f t="shared" si="8"/>
        <v>0</v>
      </c>
      <c r="J99" s="534">
        <f t="shared" si="9"/>
        <v>0</v>
      </c>
      <c r="K99" s="546"/>
      <c r="L99" s="546"/>
      <c r="M99" s="547" t="s">
        <v>228</v>
      </c>
      <c r="N99" s="547" t="s">
        <v>228</v>
      </c>
      <c r="O99" s="548"/>
      <c r="P99" s="549"/>
      <c r="Q99" s="550"/>
      <c r="R99" s="550"/>
      <c r="S99" s="549"/>
      <c r="T99" s="550"/>
      <c r="U99" s="550"/>
      <c r="V99" s="549"/>
      <c r="W99" s="550"/>
      <c r="X99" s="550"/>
      <c r="Y99" s="549"/>
      <c r="Z99" s="550"/>
      <c r="AA99" s="550"/>
      <c r="AB99" s="549"/>
      <c r="AC99" s="550"/>
      <c r="AD99" s="550"/>
      <c r="AE99" s="549"/>
      <c r="AF99" s="550"/>
      <c r="AG99" s="550"/>
      <c r="AH99" s="549"/>
      <c r="AI99" s="550"/>
      <c r="AJ99" s="550"/>
      <c r="AK99" s="549"/>
      <c r="AL99" s="550"/>
      <c r="AM99" s="550"/>
      <c r="AN99" s="549"/>
      <c r="AO99" s="550"/>
      <c r="AP99" s="550"/>
      <c r="AQ99" s="549"/>
      <c r="AR99" s="550"/>
      <c r="AS99" s="550"/>
      <c r="AT99" s="549"/>
      <c r="AU99" s="550"/>
      <c r="AV99" s="550"/>
      <c r="AW99" s="549"/>
      <c r="AX99" s="550"/>
      <c r="AY99" s="550"/>
      <c r="AZ99" s="549"/>
      <c r="BA99" s="550"/>
      <c r="BB99" s="550"/>
      <c r="BC99" s="550"/>
    </row>
    <row r="100" spans="1:55">
      <c r="A100" s="531" t="str">
        <f t="shared" si="10"/>
        <v>CP</v>
      </c>
      <c r="B100" s="50" t="str">
        <f t="shared" si="11"/>
        <v>Div12</v>
      </c>
      <c r="C100" s="50" t="s">
        <v>260</v>
      </c>
      <c r="D100" s="532" t="s">
        <v>145</v>
      </c>
      <c r="E100" s="50" t="s">
        <v>53</v>
      </c>
      <c r="F100" s="535" t="str">
        <f>R.8DContractDevName4</f>
        <v xml:space="preserve"> </v>
      </c>
      <c r="G100" s="543">
        <f>R.8DContractDevHrs4</f>
        <v>0</v>
      </c>
      <c r="H100" s="544">
        <f>Table3[[#This Row],[Hrs Rank]]</f>
        <v>0</v>
      </c>
      <c r="I100" s="534">
        <f t="shared" si="8"/>
        <v>0</v>
      </c>
      <c r="J100" s="534">
        <f t="shared" si="9"/>
        <v>0</v>
      </c>
      <c r="K100" s="546"/>
      <c r="L100" s="546"/>
      <c r="M100" s="547" t="s">
        <v>228</v>
      </c>
      <c r="N100" s="547" t="s">
        <v>228</v>
      </c>
      <c r="O100" s="548"/>
      <c r="P100" s="549"/>
      <c r="Q100" s="550"/>
      <c r="R100" s="550"/>
      <c r="S100" s="549"/>
      <c r="T100" s="550"/>
      <c r="U100" s="550"/>
      <c r="V100" s="549"/>
      <c r="W100" s="550"/>
      <c r="X100" s="550"/>
      <c r="Y100" s="549"/>
      <c r="Z100" s="550"/>
      <c r="AA100" s="550"/>
      <c r="AB100" s="549"/>
      <c r="AC100" s="550"/>
      <c r="AD100" s="550"/>
      <c r="AE100" s="549"/>
      <c r="AF100" s="550"/>
      <c r="AG100" s="550"/>
      <c r="AH100" s="549"/>
      <c r="AI100" s="550"/>
      <c r="AJ100" s="550"/>
      <c r="AK100" s="549"/>
      <c r="AL100" s="550"/>
      <c r="AM100" s="550"/>
      <c r="AN100" s="549"/>
      <c r="AO100" s="550"/>
      <c r="AP100" s="550"/>
      <c r="AQ100" s="549"/>
      <c r="AR100" s="550"/>
      <c r="AS100" s="550"/>
      <c r="AT100" s="549"/>
      <c r="AU100" s="550"/>
      <c r="AV100" s="550"/>
      <c r="AW100" s="549"/>
      <c r="AX100" s="550"/>
      <c r="AY100" s="550"/>
      <c r="AZ100" s="549"/>
      <c r="BA100" s="550"/>
      <c r="BB100" s="550"/>
      <c r="BC100" s="550"/>
    </row>
    <row r="101" spans="1:55">
      <c r="A101" s="531" t="str">
        <f t="shared" si="10"/>
        <v>CP</v>
      </c>
      <c r="B101" s="50" t="str">
        <f t="shared" si="11"/>
        <v>Div12</v>
      </c>
      <c r="C101" s="50" t="s">
        <v>260</v>
      </c>
      <c r="D101" s="532" t="s">
        <v>145</v>
      </c>
      <c r="E101" s="50" t="s">
        <v>52</v>
      </c>
      <c r="F101" s="535">
        <f>R.8DContractImpName1</f>
        <v>0</v>
      </c>
      <c r="G101" s="543">
        <f>R.8DContractImpHrs1</f>
        <v>0</v>
      </c>
      <c r="H101" s="544">
        <f>Table3[[#This Row],[Hrs Rank]]</f>
        <v>0</v>
      </c>
      <c r="I101" s="534">
        <f t="shared" si="8"/>
        <v>0</v>
      </c>
      <c r="J101" s="534">
        <f t="shared" si="9"/>
        <v>0</v>
      </c>
      <c r="K101" s="546"/>
      <c r="L101" s="546"/>
      <c r="M101" s="547" t="s">
        <v>228</v>
      </c>
      <c r="N101" s="547" t="s">
        <v>228</v>
      </c>
      <c r="O101" s="548"/>
      <c r="P101" s="549"/>
      <c r="Q101" s="550"/>
      <c r="R101" s="550"/>
      <c r="S101" s="549"/>
      <c r="T101" s="550"/>
      <c r="U101" s="550"/>
      <c r="V101" s="549"/>
      <c r="W101" s="550"/>
      <c r="X101" s="550"/>
      <c r="Y101" s="549"/>
      <c r="Z101" s="550"/>
      <c r="AA101" s="550"/>
      <c r="AB101" s="549"/>
      <c r="AC101" s="550"/>
      <c r="AD101" s="550"/>
      <c r="AE101" s="549"/>
      <c r="AF101" s="550"/>
      <c r="AG101" s="550"/>
      <c r="AH101" s="549"/>
      <c r="AI101" s="550"/>
      <c r="AJ101" s="550"/>
      <c r="AK101" s="549"/>
      <c r="AL101" s="550"/>
      <c r="AM101" s="550"/>
      <c r="AN101" s="549"/>
      <c r="AO101" s="550"/>
      <c r="AP101" s="550"/>
      <c r="AQ101" s="549"/>
      <c r="AR101" s="550"/>
      <c r="AS101" s="550"/>
      <c r="AT101" s="549"/>
      <c r="AU101" s="550"/>
      <c r="AV101" s="550"/>
      <c r="AW101" s="549"/>
      <c r="AX101" s="550"/>
      <c r="AY101" s="550"/>
      <c r="AZ101" s="549"/>
      <c r="BA101" s="550"/>
      <c r="BB101" s="550"/>
      <c r="BC101" s="550"/>
    </row>
    <row r="102" spans="1:55">
      <c r="A102" s="531" t="str">
        <f t="shared" si="10"/>
        <v>CP</v>
      </c>
      <c r="B102" s="50" t="str">
        <f t="shared" si="11"/>
        <v>Div12</v>
      </c>
      <c r="C102" s="50" t="s">
        <v>260</v>
      </c>
      <c r="D102" s="532" t="s">
        <v>145</v>
      </c>
      <c r="E102" s="50" t="s">
        <v>52</v>
      </c>
      <c r="F102" s="535">
        <f>R.8DContractImpName2</f>
        <v>0</v>
      </c>
      <c r="G102" s="543">
        <f>R.8DContractImpHrs2</f>
        <v>0</v>
      </c>
      <c r="H102" s="544">
        <f>Table3[[#This Row],[Hrs Rank]]</f>
        <v>0</v>
      </c>
      <c r="I102" s="534">
        <f t="shared" si="8"/>
        <v>0</v>
      </c>
      <c r="J102" s="534">
        <f t="shared" si="9"/>
        <v>0</v>
      </c>
      <c r="K102" s="546"/>
      <c r="L102" s="546"/>
      <c r="M102" s="547" t="s">
        <v>228</v>
      </c>
      <c r="N102" s="547" t="s">
        <v>228</v>
      </c>
      <c r="O102" s="548"/>
      <c r="P102" s="549"/>
      <c r="Q102" s="550"/>
      <c r="R102" s="550"/>
      <c r="S102" s="549"/>
      <c r="T102" s="550"/>
      <c r="U102" s="550"/>
      <c r="V102" s="549"/>
      <c r="W102" s="550"/>
      <c r="X102" s="550"/>
      <c r="Y102" s="549"/>
      <c r="Z102" s="550"/>
      <c r="AA102" s="550"/>
      <c r="AB102" s="549"/>
      <c r="AC102" s="550"/>
      <c r="AD102" s="550"/>
      <c r="AE102" s="549"/>
      <c r="AF102" s="550"/>
      <c r="AG102" s="550"/>
      <c r="AH102" s="549"/>
      <c r="AI102" s="550"/>
      <c r="AJ102" s="550"/>
      <c r="AK102" s="549"/>
      <c r="AL102" s="550"/>
      <c r="AM102" s="550"/>
      <c r="AN102" s="549"/>
      <c r="AO102" s="550"/>
      <c r="AP102" s="550"/>
      <c r="AQ102" s="549"/>
      <c r="AR102" s="550"/>
      <c r="AS102" s="550"/>
      <c r="AT102" s="549"/>
      <c r="AU102" s="550"/>
      <c r="AV102" s="550"/>
      <c r="AW102" s="549"/>
      <c r="AX102" s="550"/>
      <c r="AY102" s="550"/>
      <c r="AZ102" s="549"/>
      <c r="BA102" s="550"/>
      <c r="BB102" s="550"/>
      <c r="BC102" s="550"/>
    </row>
    <row r="103" spans="1:55">
      <c r="A103" s="531" t="str">
        <f t="shared" si="10"/>
        <v>CP</v>
      </c>
      <c r="B103" s="50" t="str">
        <f t="shared" si="11"/>
        <v>Div12</v>
      </c>
      <c r="C103" s="50" t="s">
        <v>260</v>
      </c>
      <c r="D103" s="532" t="s">
        <v>145</v>
      </c>
      <c r="E103" s="50" t="s">
        <v>52</v>
      </c>
      <c r="F103" s="535" t="str">
        <f>R.8DContractImpName3</f>
        <v xml:space="preserve"> </v>
      </c>
      <c r="G103" s="543">
        <f>R.8DContractImpHrs3</f>
        <v>0</v>
      </c>
      <c r="H103" s="544">
        <f>Table3[[#This Row],[Hrs Rank]]</f>
        <v>0</v>
      </c>
      <c r="I103" s="534">
        <f t="shared" si="8"/>
        <v>0</v>
      </c>
      <c r="J103" s="534">
        <f t="shared" si="9"/>
        <v>0</v>
      </c>
      <c r="K103" s="546"/>
      <c r="L103" s="546"/>
      <c r="M103" s="547" t="s">
        <v>228</v>
      </c>
      <c r="N103" s="547" t="s">
        <v>228</v>
      </c>
      <c r="O103" s="548"/>
      <c r="P103" s="549"/>
      <c r="Q103" s="550"/>
      <c r="R103" s="550"/>
      <c r="S103" s="549"/>
      <c r="T103" s="550"/>
      <c r="U103" s="550"/>
      <c r="V103" s="549"/>
      <c r="W103" s="550"/>
      <c r="X103" s="550"/>
      <c r="Y103" s="549"/>
      <c r="Z103" s="550"/>
      <c r="AA103" s="550"/>
      <c r="AB103" s="549"/>
      <c r="AC103" s="550"/>
      <c r="AD103" s="550"/>
      <c r="AE103" s="549"/>
      <c r="AF103" s="550"/>
      <c r="AG103" s="550"/>
      <c r="AH103" s="549"/>
      <c r="AI103" s="550"/>
      <c r="AJ103" s="550"/>
      <c r="AK103" s="549"/>
      <c r="AL103" s="550"/>
      <c r="AM103" s="550"/>
      <c r="AN103" s="549"/>
      <c r="AO103" s="550"/>
      <c r="AP103" s="550"/>
      <c r="AQ103" s="549"/>
      <c r="AR103" s="550"/>
      <c r="AS103" s="550"/>
      <c r="AT103" s="549"/>
      <c r="AU103" s="550"/>
      <c r="AV103" s="550"/>
      <c r="AW103" s="549"/>
      <c r="AX103" s="550"/>
      <c r="AY103" s="550"/>
      <c r="AZ103" s="549"/>
      <c r="BA103" s="550"/>
      <c r="BB103" s="550"/>
      <c r="BC103" s="550"/>
    </row>
    <row r="104" spans="1:55">
      <c r="A104" s="531" t="str">
        <f t="shared" si="10"/>
        <v>CP</v>
      </c>
      <c r="B104" s="50" t="str">
        <f t="shared" si="11"/>
        <v>Div12</v>
      </c>
      <c r="C104" s="50" t="s">
        <v>260</v>
      </c>
      <c r="D104" s="532" t="s">
        <v>145</v>
      </c>
      <c r="E104" s="50" t="s">
        <v>52</v>
      </c>
      <c r="F104" s="535" t="str">
        <f>R.8DContractImpName4</f>
        <v xml:space="preserve"> </v>
      </c>
      <c r="G104" s="543">
        <f>R.8DContractImpHrs4</f>
        <v>0</v>
      </c>
      <c r="H104" s="544">
        <f>Table3[[#This Row],[Hrs Rank]]</f>
        <v>0</v>
      </c>
      <c r="I104" s="534">
        <f t="shared" si="8"/>
        <v>0</v>
      </c>
      <c r="J104" s="534">
        <f t="shared" si="9"/>
        <v>0</v>
      </c>
      <c r="K104" s="546"/>
      <c r="L104" s="546"/>
      <c r="M104" s="547" t="s">
        <v>228</v>
      </c>
      <c r="N104" s="547" t="s">
        <v>228</v>
      </c>
      <c r="O104" s="548"/>
      <c r="P104" s="549"/>
      <c r="Q104" s="550"/>
      <c r="R104" s="550"/>
      <c r="S104" s="549"/>
      <c r="T104" s="550"/>
      <c r="U104" s="550"/>
      <c r="V104" s="549"/>
      <c r="W104" s="550"/>
      <c r="X104" s="550"/>
      <c r="Y104" s="549"/>
      <c r="Z104" s="550"/>
      <c r="AA104" s="550"/>
      <c r="AB104" s="549"/>
      <c r="AC104" s="550"/>
      <c r="AD104" s="550"/>
      <c r="AE104" s="549"/>
      <c r="AF104" s="550"/>
      <c r="AG104" s="550"/>
      <c r="AH104" s="549"/>
      <c r="AI104" s="550"/>
      <c r="AJ104" s="550"/>
      <c r="AK104" s="549"/>
      <c r="AL104" s="550"/>
      <c r="AM104" s="550"/>
      <c r="AN104" s="549"/>
      <c r="AO104" s="550"/>
      <c r="AP104" s="550"/>
      <c r="AQ104" s="549"/>
      <c r="AR104" s="550"/>
      <c r="AS104" s="550"/>
      <c r="AT104" s="549"/>
      <c r="AU104" s="550"/>
      <c r="AV104" s="550"/>
      <c r="AW104" s="549"/>
      <c r="AX104" s="550"/>
      <c r="AY104" s="550"/>
      <c r="AZ104" s="549"/>
      <c r="BA104" s="550"/>
      <c r="BB104" s="550"/>
      <c r="BC104" s="550"/>
    </row>
    <row r="105" spans="1:55">
      <c r="A105" s="531" t="str">
        <f t="shared" si="10"/>
        <v>CP</v>
      </c>
      <c r="B105" s="50" t="str">
        <f t="shared" si="11"/>
        <v>Div12</v>
      </c>
      <c r="C105" s="50" t="s">
        <v>261</v>
      </c>
      <c r="D105" s="532" t="s">
        <v>271</v>
      </c>
      <c r="E105" s="50" t="s">
        <v>53</v>
      </c>
      <c r="F105" s="535" t="str">
        <f>R.9ComStrategyDevName1</f>
        <v>William Knight</v>
      </c>
      <c r="G105" s="543">
        <f>R.9ComStrategyDevHrs1</f>
        <v>1</v>
      </c>
      <c r="H105" s="544">
        <f>Table3[[#This Row],[Hrs Rank]]</f>
        <v>1</v>
      </c>
      <c r="I105" s="534">
        <f t="shared" si="8"/>
        <v>1</v>
      </c>
      <c r="J105" s="534">
        <f t="shared" si="9"/>
        <v>8</v>
      </c>
      <c r="K105" s="546"/>
      <c r="L105" s="546"/>
      <c r="M105" s="547" t="s">
        <v>228</v>
      </c>
      <c r="N105" s="547" t="s">
        <v>228</v>
      </c>
      <c r="O105" s="548"/>
      <c r="P105" s="549"/>
      <c r="Q105" s="550"/>
      <c r="R105" s="550"/>
      <c r="S105" s="549"/>
      <c r="T105" s="550"/>
      <c r="U105" s="550"/>
      <c r="V105" s="549"/>
      <c r="W105" s="550"/>
      <c r="X105" s="550"/>
      <c r="Y105" s="549"/>
      <c r="Z105" s="550"/>
      <c r="AA105" s="550"/>
      <c r="AB105" s="549"/>
      <c r="AC105" s="550"/>
      <c r="AD105" s="550"/>
      <c r="AE105" s="549"/>
      <c r="AF105" s="550"/>
      <c r="AG105" s="550"/>
      <c r="AH105" s="549"/>
      <c r="AI105" s="550"/>
      <c r="AJ105" s="550"/>
      <c r="AK105" s="549"/>
      <c r="AL105" s="550"/>
      <c r="AM105" s="550"/>
      <c r="AN105" s="549"/>
      <c r="AO105" s="550"/>
      <c r="AP105" s="550"/>
      <c r="AQ105" s="549"/>
      <c r="AR105" s="550"/>
      <c r="AS105" s="550"/>
      <c r="AT105" s="549"/>
      <c r="AU105" s="550"/>
      <c r="AV105" s="550"/>
      <c r="AW105" s="549"/>
      <c r="AX105" s="550"/>
      <c r="AY105" s="550"/>
      <c r="AZ105" s="549"/>
      <c r="BA105" s="550"/>
      <c r="BB105" s="550"/>
      <c r="BC105" s="550"/>
    </row>
    <row r="106" spans="1:55">
      <c r="A106" s="531" t="str">
        <f t="shared" si="10"/>
        <v>CP</v>
      </c>
      <c r="B106" s="50" t="str">
        <f t="shared" si="11"/>
        <v>Div12</v>
      </c>
      <c r="C106" s="50" t="s">
        <v>261</v>
      </c>
      <c r="D106" s="532" t="s">
        <v>271</v>
      </c>
      <c r="E106" s="50" t="s">
        <v>53</v>
      </c>
      <c r="F106" s="535" t="str">
        <f>R.9ComStrategyDevName2</f>
        <v>Joanie Stevens-Schwenger (editor)</v>
      </c>
      <c r="G106" s="543">
        <f>R.9ComStrategyDevHrs2</f>
        <v>1</v>
      </c>
      <c r="H106" s="544">
        <f>Table3[[#This Row],[Hrs Rank]]</f>
        <v>1</v>
      </c>
      <c r="I106" s="534">
        <f t="shared" si="8"/>
        <v>1</v>
      </c>
      <c r="J106" s="534">
        <f t="shared" si="9"/>
        <v>8</v>
      </c>
      <c r="K106" s="546"/>
      <c r="L106" s="546"/>
      <c r="M106" s="547" t="s">
        <v>228</v>
      </c>
      <c r="N106" s="547" t="s">
        <v>228</v>
      </c>
      <c r="O106" s="548"/>
      <c r="P106" s="549"/>
      <c r="Q106" s="550"/>
      <c r="R106" s="550"/>
      <c r="S106" s="549"/>
      <c r="T106" s="550"/>
      <c r="U106" s="550"/>
      <c r="V106" s="549"/>
      <c r="W106" s="550"/>
      <c r="X106" s="550"/>
      <c r="Y106" s="549"/>
      <c r="Z106" s="550"/>
      <c r="AA106" s="550"/>
      <c r="AB106" s="549"/>
      <c r="AC106" s="550"/>
      <c r="AD106" s="550"/>
      <c r="AE106" s="549"/>
      <c r="AF106" s="550"/>
      <c r="AG106" s="550"/>
      <c r="AH106" s="549"/>
      <c r="AI106" s="550"/>
      <c r="AJ106" s="550"/>
      <c r="AK106" s="549"/>
      <c r="AL106" s="550"/>
      <c r="AM106" s="550"/>
      <c r="AN106" s="549"/>
      <c r="AO106" s="550"/>
      <c r="AP106" s="550"/>
      <c r="AQ106" s="549"/>
      <c r="AR106" s="550"/>
      <c r="AS106" s="550"/>
      <c r="AT106" s="549"/>
      <c r="AU106" s="550"/>
      <c r="AV106" s="550"/>
      <c r="AW106" s="549"/>
      <c r="AX106" s="550"/>
      <c r="AY106" s="550"/>
      <c r="AZ106" s="549"/>
      <c r="BA106" s="550"/>
      <c r="BB106" s="550"/>
      <c r="BC106" s="550"/>
    </row>
    <row r="107" spans="1:55">
      <c r="A107" s="531" t="str">
        <f t="shared" si="10"/>
        <v>CP</v>
      </c>
      <c r="B107" s="50" t="str">
        <f t="shared" si="11"/>
        <v>Div12</v>
      </c>
      <c r="C107" s="50" t="s">
        <v>261</v>
      </c>
      <c r="D107" s="532" t="s">
        <v>271</v>
      </c>
      <c r="E107" s="50" t="s">
        <v>53</v>
      </c>
      <c r="F107" s="535" t="str">
        <f>R.9ComStrategyDevName3</f>
        <v xml:space="preserve"> </v>
      </c>
      <c r="G107" s="543">
        <f>R.9ComStrategyDevHrs3</f>
        <v>0</v>
      </c>
      <c r="H107" s="544">
        <f>Table3[[#This Row],[Hrs Rank]]</f>
        <v>0</v>
      </c>
      <c r="I107" s="534">
        <f t="shared" si="8"/>
        <v>0</v>
      </c>
      <c r="J107" s="534">
        <f t="shared" si="9"/>
        <v>0</v>
      </c>
      <c r="K107" s="546"/>
      <c r="L107" s="546"/>
      <c r="M107" s="547" t="s">
        <v>228</v>
      </c>
      <c r="N107" s="547" t="s">
        <v>228</v>
      </c>
      <c r="O107" s="548"/>
      <c r="P107" s="549"/>
      <c r="Q107" s="550"/>
      <c r="R107" s="550"/>
      <c r="S107" s="549"/>
      <c r="T107" s="550"/>
      <c r="U107" s="550"/>
      <c r="V107" s="549"/>
      <c r="W107" s="550"/>
      <c r="X107" s="550"/>
      <c r="Y107" s="549"/>
      <c r="Z107" s="550"/>
      <c r="AA107" s="550"/>
      <c r="AB107" s="549"/>
      <c r="AC107" s="550"/>
      <c r="AD107" s="550"/>
      <c r="AE107" s="549"/>
      <c r="AF107" s="550"/>
      <c r="AG107" s="550"/>
      <c r="AH107" s="549"/>
      <c r="AI107" s="550"/>
      <c r="AJ107" s="550"/>
      <c r="AK107" s="549"/>
      <c r="AL107" s="550"/>
      <c r="AM107" s="550"/>
      <c r="AN107" s="549"/>
      <c r="AO107" s="550"/>
      <c r="AP107" s="550"/>
      <c r="AQ107" s="549"/>
      <c r="AR107" s="550"/>
      <c r="AS107" s="550"/>
      <c r="AT107" s="549"/>
      <c r="AU107" s="550"/>
      <c r="AV107" s="550"/>
      <c r="AW107" s="549"/>
      <c r="AX107" s="550"/>
      <c r="AY107" s="550"/>
      <c r="AZ107" s="549"/>
      <c r="BA107" s="550"/>
      <c r="BB107" s="550"/>
      <c r="BC107" s="550"/>
    </row>
    <row r="108" spans="1:55">
      <c r="A108" s="531" t="str">
        <f t="shared" si="10"/>
        <v>CP</v>
      </c>
      <c r="B108" s="50" t="str">
        <f t="shared" si="11"/>
        <v>Div12</v>
      </c>
      <c r="C108" s="50" t="s">
        <v>261</v>
      </c>
      <c r="D108" s="532" t="s">
        <v>271</v>
      </c>
      <c r="E108" s="50" t="s">
        <v>53</v>
      </c>
      <c r="F108" s="535" t="str">
        <f>R.9ComStrategyDevName4</f>
        <v xml:space="preserve"> </v>
      </c>
      <c r="G108" s="543">
        <f>R.9ComStrategyDevHrs4</f>
        <v>0</v>
      </c>
      <c r="H108" s="544">
        <f>Table3[[#This Row],[Hrs Rank]]</f>
        <v>0</v>
      </c>
      <c r="I108" s="534">
        <f t="shared" si="8"/>
        <v>0</v>
      </c>
      <c r="J108" s="534">
        <f t="shared" si="9"/>
        <v>0</v>
      </c>
      <c r="K108" s="546"/>
      <c r="L108" s="546"/>
      <c r="M108" s="547" t="s">
        <v>228</v>
      </c>
      <c r="N108" s="547" t="s">
        <v>228</v>
      </c>
      <c r="O108" s="548"/>
      <c r="P108" s="549"/>
      <c r="Q108" s="550"/>
      <c r="R108" s="550"/>
      <c r="S108" s="549"/>
      <c r="T108" s="550"/>
      <c r="U108" s="550"/>
      <c r="V108" s="549"/>
      <c r="W108" s="550"/>
      <c r="X108" s="550"/>
      <c r="Y108" s="549"/>
      <c r="Z108" s="550"/>
      <c r="AA108" s="550"/>
      <c r="AB108" s="549"/>
      <c r="AC108" s="550"/>
      <c r="AD108" s="550"/>
      <c r="AE108" s="549"/>
      <c r="AF108" s="550"/>
      <c r="AG108" s="550"/>
      <c r="AH108" s="549"/>
      <c r="AI108" s="550"/>
      <c r="AJ108" s="550"/>
      <c r="AK108" s="549"/>
      <c r="AL108" s="550"/>
      <c r="AM108" s="550"/>
      <c r="AN108" s="549"/>
      <c r="AO108" s="550"/>
      <c r="AP108" s="550"/>
      <c r="AQ108" s="549"/>
      <c r="AR108" s="550"/>
      <c r="AS108" s="550"/>
      <c r="AT108" s="549"/>
      <c r="AU108" s="550"/>
      <c r="AV108" s="550"/>
      <c r="AW108" s="549"/>
      <c r="AX108" s="550"/>
      <c r="AY108" s="550"/>
      <c r="AZ108" s="549"/>
      <c r="BA108" s="550"/>
      <c r="BB108" s="550"/>
      <c r="BC108" s="550"/>
    </row>
    <row r="109" spans="1:55">
      <c r="A109" s="531" t="str">
        <f t="shared" si="10"/>
        <v>CP</v>
      </c>
      <c r="B109" s="50" t="str">
        <f t="shared" si="11"/>
        <v>Div12</v>
      </c>
      <c r="C109" s="50" t="s">
        <v>261</v>
      </c>
      <c r="D109" s="532" t="s">
        <v>271</v>
      </c>
      <c r="E109" s="50" t="s">
        <v>52</v>
      </c>
      <c r="F109" s="535" t="str">
        <f>R.9ComStrategyImpName1</f>
        <v xml:space="preserve"> </v>
      </c>
      <c r="G109" s="543">
        <f>R.9ComStrategyImpHrs1</f>
        <v>0</v>
      </c>
      <c r="H109" s="544">
        <f>Table3[[#This Row],[Hrs Rank]]</f>
        <v>0</v>
      </c>
      <c r="I109" s="534">
        <f t="shared" si="8"/>
        <v>0</v>
      </c>
      <c r="J109" s="534">
        <f t="shared" si="9"/>
        <v>0</v>
      </c>
      <c r="K109" s="546"/>
      <c r="L109" s="546"/>
      <c r="M109" s="547" t="s">
        <v>228</v>
      </c>
      <c r="N109" s="547" t="s">
        <v>228</v>
      </c>
      <c r="O109" s="548"/>
      <c r="P109" s="549"/>
      <c r="Q109" s="550"/>
      <c r="R109" s="550"/>
      <c r="S109" s="549"/>
      <c r="T109" s="550"/>
      <c r="U109" s="550"/>
      <c r="V109" s="549"/>
      <c r="W109" s="550"/>
      <c r="X109" s="550"/>
      <c r="Y109" s="549"/>
      <c r="Z109" s="550"/>
      <c r="AA109" s="550"/>
      <c r="AB109" s="549"/>
      <c r="AC109" s="550"/>
      <c r="AD109" s="550"/>
      <c r="AE109" s="549"/>
      <c r="AF109" s="550"/>
      <c r="AG109" s="550"/>
      <c r="AH109" s="549"/>
      <c r="AI109" s="550"/>
      <c r="AJ109" s="550"/>
      <c r="AK109" s="549"/>
      <c r="AL109" s="550"/>
      <c r="AM109" s="550"/>
      <c r="AN109" s="549"/>
      <c r="AO109" s="550"/>
      <c r="AP109" s="550"/>
      <c r="AQ109" s="549"/>
      <c r="AR109" s="550"/>
      <c r="AS109" s="550"/>
      <c r="AT109" s="549"/>
      <c r="AU109" s="550"/>
      <c r="AV109" s="550"/>
      <c r="AW109" s="549"/>
      <c r="AX109" s="550"/>
      <c r="AY109" s="550"/>
      <c r="AZ109" s="549"/>
      <c r="BA109" s="550"/>
      <c r="BB109" s="550"/>
      <c r="BC109" s="550"/>
    </row>
    <row r="110" spans="1:55">
      <c r="A110" s="531" t="str">
        <f t="shared" si="10"/>
        <v>CP</v>
      </c>
      <c r="B110" s="50" t="str">
        <f t="shared" si="11"/>
        <v>Div12</v>
      </c>
      <c r="C110" s="50" t="s">
        <v>261</v>
      </c>
      <c r="D110" s="532" t="s">
        <v>271</v>
      </c>
      <c r="E110" s="50" t="s">
        <v>52</v>
      </c>
      <c r="F110" s="535">
        <f>R.9ComStrategyImpName2</f>
        <v>0</v>
      </c>
      <c r="G110" s="543">
        <f>R.9ComStrategyImpHrs2</f>
        <v>0</v>
      </c>
      <c r="H110" s="544">
        <f>Table3[[#This Row],[Hrs Rank]]</f>
        <v>0</v>
      </c>
      <c r="I110" s="534">
        <f t="shared" si="8"/>
        <v>0</v>
      </c>
      <c r="J110" s="534">
        <f t="shared" si="9"/>
        <v>0</v>
      </c>
      <c r="K110" s="546"/>
      <c r="L110" s="546"/>
      <c r="M110" s="547" t="s">
        <v>228</v>
      </c>
      <c r="N110" s="547" t="s">
        <v>228</v>
      </c>
      <c r="O110" s="548"/>
      <c r="P110" s="549"/>
      <c r="Q110" s="550"/>
      <c r="R110" s="550"/>
      <c r="S110" s="549"/>
      <c r="T110" s="550"/>
      <c r="U110" s="550"/>
      <c r="V110" s="549"/>
      <c r="W110" s="550"/>
      <c r="X110" s="550"/>
      <c r="Y110" s="549"/>
      <c r="Z110" s="550"/>
      <c r="AA110" s="550"/>
      <c r="AB110" s="549"/>
      <c r="AC110" s="550"/>
      <c r="AD110" s="550"/>
      <c r="AE110" s="549"/>
      <c r="AF110" s="550"/>
      <c r="AG110" s="550"/>
      <c r="AH110" s="549"/>
      <c r="AI110" s="550"/>
      <c r="AJ110" s="550"/>
      <c r="AK110" s="549"/>
      <c r="AL110" s="550"/>
      <c r="AM110" s="550"/>
      <c r="AN110" s="549"/>
      <c r="AO110" s="550"/>
      <c r="AP110" s="550"/>
      <c r="AQ110" s="549"/>
      <c r="AR110" s="550"/>
      <c r="AS110" s="550"/>
      <c r="AT110" s="549"/>
      <c r="AU110" s="550"/>
      <c r="AV110" s="550"/>
      <c r="AW110" s="549"/>
      <c r="AX110" s="550"/>
      <c r="AY110" s="550"/>
      <c r="AZ110" s="549"/>
      <c r="BA110" s="550"/>
      <c r="BB110" s="550"/>
      <c r="BC110" s="550"/>
    </row>
    <row r="111" spans="1:55">
      <c r="A111" s="531" t="str">
        <f t="shared" si="10"/>
        <v>CP</v>
      </c>
      <c r="B111" s="50" t="str">
        <f t="shared" si="11"/>
        <v>Div12</v>
      </c>
      <c r="C111" s="50" t="s">
        <v>261</v>
      </c>
      <c r="D111" s="532" t="s">
        <v>271</v>
      </c>
      <c r="E111" s="50" t="s">
        <v>52</v>
      </c>
      <c r="F111" s="535">
        <f>R.9ComStrategyImpName3</f>
        <v>0</v>
      </c>
      <c r="G111" s="543">
        <f>R.9ComStrategyImpHrs3</f>
        <v>0</v>
      </c>
      <c r="H111" s="544">
        <f>Table3[[#This Row],[Hrs Rank]]</f>
        <v>0</v>
      </c>
      <c r="I111" s="534">
        <f t="shared" si="8"/>
        <v>0</v>
      </c>
      <c r="J111" s="534">
        <f t="shared" si="9"/>
        <v>0</v>
      </c>
      <c r="K111" s="546"/>
      <c r="L111" s="546"/>
      <c r="M111" s="547" t="s">
        <v>228</v>
      </c>
      <c r="N111" s="547" t="s">
        <v>228</v>
      </c>
      <c r="O111" s="548"/>
      <c r="P111" s="549"/>
      <c r="Q111" s="550"/>
      <c r="R111" s="550"/>
      <c r="S111" s="549"/>
      <c r="T111" s="550"/>
      <c r="U111" s="550"/>
      <c r="V111" s="549"/>
      <c r="W111" s="550"/>
      <c r="X111" s="550"/>
      <c r="Y111" s="549"/>
      <c r="Z111" s="550"/>
      <c r="AA111" s="550"/>
      <c r="AB111" s="549"/>
      <c r="AC111" s="550"/>
      <c r="AD111" s="550"/>
      <c r="AE111" s="549"/>
      <c r="AF111" s="550"/>
      <c r="AG111" s="550"/>
      <c r="AH111" s="549"/>
      <c r="AI111" s="550"/>
      <c r="AJ111" s="550"/>
      <c r="AK111" s="549"/>
      <c r="AL111" s="550"/>
      <c r="AM111" s="550"/>
      <c r="AN111" s="549"/>
      <c r="AO111" s="550"/>
      <c r="AP111" s="550"/>
      <c r="AQ111" s="549"/>
      <c r="AR111" s="550"/>
      <c r="AS111" s="550"/>
      <c r="AT111" s="549"/>
      <c r="AU111" s="550"/>
      <c r="AV111" s="550"/>
      <c r="AW111" s="549"/>
      <c r="AX111" s="550"/>
      <c r="AY111" s="550"/>
      <c r="AZ111" s="549"/>
      <c r="BA111" s="550"/>
      <c r="BB111" s="550"/>
      <c r="BC111" s="550"/>
    </row>
    <row r="112" spans="1:55">
      <c r="A112" s="531" t="str">
        <f t="shared" si="10"/>
        <v>CP</v>
      </c>
      <c r="B112" s="50" t="str">
        <f t="shared" si="11"/>
        <v>Div12</v>
      </c>
      <c r="C112" s="50" t="s">
        <v>261</v>
      </c>
      <c r="D112" s="532" t="s">
        <v>271</v>
      </c>
      <c r="E112" s="50" t="s">
        <v>52</v>
      </c>
      <c r="F112" s="535" t="str">
        <f>R.9ComStrategyImpName4</f>
        <v xml:space="preserve"> </v>
      </c>
      <c r="G112" s="543">
        <f>R.9ComStrategyImpHrs4</f>
        <v>0</v>
      </c>
      <c r="H112" s="544">
        <f>Table3[[#This Row],[Hrs Rank]]</f>
        <v>0</v>
      </c>
      <c r="I112" s="534">
        <f t="shared" si="8"/>
        <v>0</v>
      </c>
      <c r="J112" s="534">
        <f t="shared" si="9"/>
        <v>0</v>
      </c>
      <c r="K112" s="546"/>
      <c r="L112" s="546"/>
      <c r="M112" s="547" t="s">
        <v>228</v>
      </c>
      <c r="N112" s="547" t="s">
        <v>228</v>
      </c>
      <c r="O112" s="548"/>
      <c r="P112" s="549"/>
      <c r="Q112" s="550"/>
      <c r="R112" s="550"/>
      <c r="S112" s="549"/>
      <c r="T112" s="550"/>
      <c r="U112" s="550"/>
      <c r="V112" s="549"/>
      <c r="W112" s="550"/>
      <c r="X112" s="550"/>
      <c r="Y112" s="549"/>
      <c r="Z112" s="550"/>
      <c r="AA112" s="550"/>
      <c r="AB112" s="549"/>
      <c r="AC112" s="550"/>
      <c r="AD112" s="550"/>
      <c r="AE112" s="549"/>
      <c r="AF112" s="550"/>
      <c r="AG112" s="550"/>
      <c r="AH112" s="549"/>
      <c r="AI112" s="550"/>
      <c r="AJ112" s="550"/>
      <c r="AK112" s="549"/>
      <c r="AL112" s="550"/>
      <c r="AM112" s="550"/>
      <c r="AN112" s="549"/>
      <c r="AO112" s="550"/>
      <c r="AP112" s="550"/>
      <c r="AQ112" s="549"/>
      <c r="AR112" s="550"/>
      <c r="AS112" s="550"/>
      <c r="AT112" s="549"/>
      <c r="AU112" s="550"/>
      <c r="AV112" s="550"/>
      <c r="AW112" s="549"/>
      <c r="AX112" s="550"/>
      <c r="AY112" s="550"/>
      <c r="AZ112" s="549"/>
      <c r="BA112" s="550"/>
      <c r="BB112" s="550"/>
      <c r="BC112" s="550"/>
    </row>
    <row r="113" spans="1:55" s="519" customFormat="1">
      <c r="A113" s="531" t="str">
        <f t="shared" ref="A113:A148" si="12">R.1Division</f>
        <v>CP</v>
      </c>
      <c r="B113" s="50" t="str">
        <f t="shared" ref="B113:B148" si="13">R.1CodeName</f>
        <v>Div12</v>
      </c>
      <c r="C113" s="50" t="s">
        <v>261</v>
      </c>
      <c r="D113" s="532" t="s">
        <v>272</v>
      </c>
      <c r="E113" s="50" t="s">
        <v>53</v>
      </c>
      <c r="F113" s="535">
        <f>R.9PRDevName1</f>
        <v>0</v>
      </c>
      <c r="G113" s="543">
        <f>R.9PRDevHrs1</f>
        <v>0</v>
      </c>
      <c r="H113" s="544">
        <f>Table3[[#This Row],[Hrs Rank]]</f>
        <v>0</v>
      </c>
      <c r="I113" s="534">
        <f t="shared" si="8"/>
        <v>0</v>
      </c>
      <c r="J113" s="534">
        <f t="shared" si="9"/>
        <v>0</v>
      </c>
      <c r="K113" s="546"/>
      <c r="L113" s="546"/>
      <c r="M113" s="547" t="s">
        <v>228</v>
      </c>
      <c r="N113" s="547" t="s">
        <v>228</v>
      </c>
      <c r="O113" s="548"/>
      <c r="P113" s="549"/>
      <c r="Q113" s="550"/>
      <c r="R113" s="550"/>
      <c r="S113" s="549"/>
      <c r="T113" s="550"/>
      <c r="U113" s="550"/>
      <c r="V113" s="549"/>
      <c r="W113" s="550"/>
      <c r="X113" s="550"/>
      <c r="Y113" s="549"/>
      <c r="Z113" s="550"/>
      <c r="AA113" s="550"/>
      <c r="AB113" s="549"/>
      <c r="AC113" s="550"/>
      <c r="AD113" s="550"/>
      <c r="AE113" s="549"/>
      <c r="AF113" s="550"/>
      <c r="AG113" s="550"/>
      <c r="AH113" s="549"/>
      <c r="AI113" s="550"/>
      <c r="AJ113" s="550"/>
      <c r="AK113" s="549"/>
      <c r="AL113" s="550"/>
      <c r="AM113" s="550"/>
      <c r="AN113" s="549"/>
      <c r="AO113" s="550"/>
      <c r="AP113" s="550"/>
      <c r="AQ113" s="549"/>
      <c r="AR113" s="550"/>
      <c r="AS113" s="550"/>
      <c r="AT113" s="549"/>
      <c r="AU113" s="550"/>
      <c r="AV113" s="550"/>
      <c r="AW113" s="549"/>
      <c r="AX113" s="550"/>
      <c r="AY113" s="550"/>
      <c r="AZ113" s="549"/>
      <c r="BA113" s="550"/>
      <c r="BB113" s="550"/>
      <c r="BC113" s="550"/>
    </row>
    <row r="114" spans="1:55" s="519" customFormat="1">
      <c r="A114" s="531" t="str">
        <f t="shared" si="12"/>
        <v>CP</v>
      </c>
      <c r="B114" s="50" t="str">
        <f t="shared" si="13"/>
        <v>Div12</v>
      </c>
      <c r="C114" s="50" t="s">
        <v>261</v>
      </c>
      <c r="D114" s="532" t="s">
        <v>272</v>
      </c>
      <c r="E114" s="50" t="s">
        <v>53</v>
      </c>
      <c r="F114" s="535" t="str">
        <f>R.9PRDevName2</f>
        <v xml:space="preserve"> </v>
      </c>
      <c r="G114" s="543">
        <f>R.9PRDevHrs2</f>
        <v>0</v>
      </c>
      <c r="H114" s="544">
        <f>Table3[[#This Row],[Hrs Rank]]</f>
        <v>0</v>
      </c>
      <c r="I114" s="534">
        <f t="shared" si="8"/>
        <v>0</v>
      </c>
      <c r="J114" s="534">
        <f t="shared" si="9"/>
        <v>0</v>
      </c>
      <c r="K114" s="546"/>
      <c r="L114" s="546"/>
      <c r="M114" s="547" t="s">
        <v>228</v>
      </c>
      <c r="N114" s="547" t="s">
        <v>228</v>
      </c>
      <c r="O114" s="548"/>
      <c r="P114" s="549"/>
      <c r="Q114" s="550"/>
      <c r="R114" s="550"/>
      <c r="S114" s="549"/>
      <c r="T114" s="550"/>
      <c r="U114" s="550"/>
      <c r="V114" s="549"/>
      <c r="W114" s="550"/>
      <c r="X114" s="550"/>
      <c r="Y114" s="549"/>
      <c r="Z114" s="550"/>
      <c r="AA114" s="550"/>
      <c r="AB114" s="549"/>
      <c r="AC114" s="550"/>
      <c r="AD114" s="550"/>
      <c r="AE114" s="549"/>
      <c r="AF114" s="550"/>
      <c r="AG114" s="550"/>
      <c r="AH114" s="549"/>
      <c r="AI114" s="550"/>
      <c r="AJ114" s="550"/>
      <c r="AK114" s="549"/>
      <c r="AL114" s="550"/>
      <c r="AM114" s="550"/>
      <c r="AN114" s="549"/>
      <c r="AO114" s="550"/>
      <c r="AP114" s="550"/>
      <c r="AQ114" s="549"/>
      <c r="AR114" s="550"/>
      <c r="AS114" s="550"/>
      <c r="AT114" s="549"/>
      <c r="AU114" s="550"/>
      <c r="AV114" s="550"/>
      <c r="AW114" s="549"/>
      <c r="AX114" s="550"/>
      <c r="AY114" s="550"/>
      <c r="AZ114" s="549"/>
      <c r="BA114" s="550"/>
      <c r="BB114" s="550"/>
      <c r="BC114" s="550"/>
    </row>
    <row r="115" spans="1:55" s="519" customFormat="1">
      <c r="A115" s="531" t="str">
        <f t="shared" si="12"/>
        <v>CP</v>
      </c>
      <c r="B115" s="50" t="str">
        <f t="shared" si="13"/>
        <v>Div12</v>
      </c>
      <c r="C115" s="50" t="s">
        <v>261</v>
      </c>
      <c r="D115" s="532" t="s">
        <v>272</v>
      </c>
      <c r="E115" s="50" t="s">
        <v>53</v>
      </c>
      <c r="F115" s="535" t="str">
        <f>R.9PRDevName3</f>
        <v xml:space="preserve"> </v>
      </c>
      <c r="G115" s="543">
        <f>R.9PRDevHrs3</f>
        <v>0</v>
      </c>
      <c r="H115" s="544">
        <f>Table3[[#This Row],[Hrs Rank]]</f>
        <v>0</v>
      </c>
      <c r="I115" s="534">
        <f t="shared" si="8"/>
        <v>0</v>
      </c>
      <c r="J115" s="534">
        <f t="shared" si="9"/>
        <v>0</v>
      </c>
      <c r="K115" s="546"/>
      <c r="L115" s="546"/>
      <c r="M115" s="547" t="s">
        <v>228</v>
      </c>
      <c r="N115" s="547" t="s">
        <v>228</v>
      </c>
      <c r="O115" s="548"/>
      <c r="P115" s="549"/>
      <c r="Q115" s="550"/>
      <c r="R115" s="550"/>
      <c r="S115" s="549"/>
      <c r="T115" s="550"/>
      <c r="U115" s="550"/>
      <c r="V115" s="549"/>
      <c r="W115" s="550"/>
      <c r="X115" s="550"/>
      <c r="Y115" s="549"/>
      <c r="Z115" s="550"/>
      <c r="AA115" s="550"/>
      <c r="AB115" s="549"/>
      <c r="AC115" s="550"/>
      <c r="AD115" s="550"/>
      <c r="AE115" s="549"/>
      <c r="AF115" s="550"/>
      <c r="AG115" s="550"/>
      <c r="AH115" s="549"/>
      <c r="AI115" s="550"/>
      <c r="AJ115" s="550"/>
      <c r="AK115" s="549"/>
      <c r="AL115" s="550"/>
      <c r="AM115" s="550"/>
      <c r="AN115" s="549"/>
      <c r="AO115" s="550"/>
      <c r="AP115" s="550"/>
      <c r="AQ115" s="549"/>
      <c r="AR115" s="550"/>
      <c r="AS115" s="550"/>
      <c r="AT115" s="549"/>
      <c r="AU115" s="550"/>
      <c r="AV115" s="550"/>
      <c r="AW115" s="549"/>
      <c r="AX115" s="550"/>
      <c r="AY115" s="550"/>
      <c r="AZ115" s="549"/>
      <c r="BA115" s="550"/>
      <c r="BB115" s="550"/>
      <c r="BC115" s="550"/>
    </row>
    <row r="116" spans="1:55" s="519" customFormat="1">
      <c r="A116" s="531" t="str">
        <f t="shared" si="12"/>
        <v>CP</v>
      </c>
      <c r="B116" s="50" t="str">
        <f t="shared" si="13"/>
        <v>Div12</v>
      </c>
      <c r="C116" s="50" t="s">
        <v>261</v>
      </c>
      <c r="D116" s="532" t="s">
        <v>272</v>
      </c>
      <c r="E116" s="50" t="s">
        <v>53</v>
      </c>
      <c r="F116" s="535" t="str">
        <f>R.9PRDevName4</f>
        <v xml:space="preserve"> </v>
      </c>
      <c r="G116" s="543">
        <f>R.9PRDevHrs4</f>
        <v>0</v>
      </c>
      <c r="H116" s="544">
        <f>Table3[[#This Row],[Hrs Rank]]</f>
        <v>0</v>
      </c>
      <c r="I116" s="534">
        <f t="shared" si="8"/>
        <v>0</v>
      </c>
      <c r="J116" s="534">
        <f t="shared" si="9"/>
        <v>0</v>
      </c>
      <c r="K116" s="546"/>
      <c r="L116" s="546"/>
      <c r="M116" s="547" t="s">
        <v>228</v>
      </c>
      <c r="N116" s="547" t="s">
        <v>228</v>
      </c>
      <c r="O116" s="548"/>
      <c r="P116" s="549"/>
      <c r="Q116" s="550"/>
      <c r="R116" s="550"/>
      <c r="S116" s="549"/>
      <c r="T116" s="550"/>
      <c r="U116" s="550"/>
      <c r="V116" s="549"/>
      <c r="W116" s="550"/>
      <c r="X116" s="550"/>
      <c r="Y116" s="549"/>
      <c r="Z116" s="550"/>
      <c r="AA116" s="550"/>
      <c r="AB116" s="549"/>
      <c r="AC116" s="550"/>
      <c r="AD116" s="550"/>
      <c r="AE116" s="549"/>
      <c r="AF116" s="550"/>
      <c r="AG116" s="550"/>
      <c r="AH116" s="549"/>
      <c r="AI116" s="550"/>
      <c r="AJ116" s="550"/>
      <c r="AK116" s="549"/>
      <c r="AL116" s="550"/>
      <c r="AM116" s="550"/>
      <c r="AN116" s="549"/>
      <c r="AO116" s="550"/>
      <c r="AP116" s="550"/>
      <c r="AQ116" s="549"/>
      <c r="AR116" s="550"/>
      <c r="AS116" s="550"/>
      <c r="AT116" s="549"/>
      <c r="AU116" s="550"/>
      <c r="AV116" s="550"/>
      <c r="AW116" s="549"/>
      <c r="AX116" s="550"/>
      <c r="AY116" s="550"/>
      <c r="AZ116" s="549"/>
      <c r="BA116" s="550"/>
      <c r="BB116" s="550"/>
      <c r="BC116" s="550"/>
    </row>
    <row r="117" spans="1:55" s="519" customFormat="1">
      <c r="A117" s="531" t="str">
        <f t="shared" si="12"/>
        <v>CP</v>
      </c>
      <c r="B117" s="50" t="str">
        <f t="shared" si="13"/>
        <v>Div12</v>
      </c>
      <c r="C117" s="50" t="s">
        <v>261</v>
      </c>
      <c r="D117" s="532" t="s">
        <v>272</v>
      </c>
      <c r="E117" s="50" t="s">
        <v>52</v>
      </c>
      <c r="F117" s="535" t="str">
        <f>R.9PRImpName1</f>
        <v xml:space="preserve"> </v>
      </c>
      <c r="G117" s="543">
        <f>R.9PRImpHrs1</f>
        <v>0</v>
      </c>
      <c r="H117" s="544">
        <f>Table3[[#This Row],[Hrs Rank]]</f>
        <v>0</v>
      </c>
      <c r="I117" s="534">
        <f t="shared" si="8"/>
        <v>0</v>
      </c>
      <c r="J117" s="534">
        <f t="shared" si="9"/>
        <v>0</v>
      </c>
      <c r="K117" s="546"/>
      <c r="L117" s="546"/>
      <c r="M117" s="547" t="s">
        <v>228</v>
      </c>
      <c r="N117" s="547" t="s">
        <v>228</v>
      </c>
      <c r="O117" s="548"/>
      <c r="P117" s="549"/>
      <c r="Q117" s="550"/>
      <c r="R117" s="550"/>
      <c r="S117" s="549"/>
      <c r="T117" s="550"/>
      <c r="U117" s="550"/>
      <c r="V117" s="549"/>
      <c r="W117" s="550"/>
      <c r="X117" s="550"/>
      <c r="Y117" s="549"/>
      <c r="Z117" s="550"/>
      <c r="AA117" s="550"/>
      <c r="AB117" s="549"/>
      <c r="AC117" s="550"/>
      <c r="AD117" s="550"/>
      <c r="AE117" s="549"/>
      <c r="AF117" s="550"/>
      <c r="AG117" s="550"/>
      <c r="AH117" s="549"/>
      <c r="AI117" s="550"/>
      <c r="AJ117" s="550"/>
      <c r="AK117" s="549"/>
      <c r="AL117" s="550"/>
      <c r="AM117" s="550"/>
      <c r="AN117" s="549"/>
      <c r="AO117" s="550"/>
      <c r="AP117" s="550"/>
      <c r="AQ117" s="549"/>
      <c r="AR117" s="550"/>
      <c r="AS117" s="550"/>
      <c r="AT117" s="549"/>
      <c r="AU117" s="550"/>
      <c r="AV117" s="550"/>
      <c r="AW117" s="549"/>
      <c r="AX117" s="550"/>
      <c r="AY117" s="550"/>
      <c r="AZ117" s="549"/>
      <c r="BA117" s="550"/>
      <c r="BB117" s="550"/>
      <c r="BC117" s="550"/>
    </row>
    <row r="118" spans="1:55" s="519" customFormat="1">
      <c r="A118" s="531" t="str">
        <f t="shared" si="12"/>
        <v>CP</v>
      </c>
      <c r="B118" s="50" t="str">
        <f t="shared" si="13"/>
        <v>Div12</v>
      </c>
      <c r="C118" s="50" t="s">
        <v>261</v>
      </c>
      <c r="D118" s="532" t="s">
        <v>272</v>
      </c>
      <c r="E118" s="50" t="s">
        <v>52</v>
      </c>
      <c r="F118" s="535" t="str">
        <f>R.9PRImpName2</f>
        <v xml:space="preserve"> </v>
      </c>
      <c r="G118" s="543">
        <f>R.9PRImpHrs2</f>
        <v>0</v>
      </c>
      <c r="H118" s="544">
        <f>Table3[[#This Row],[Hrs Rank]]</f>
        <v>0</v>
      </c>
      <c r="I118" s="534">
        <f t="shared" si="8"/>
        <v>0</v>
      </c>
      <c r="J118" s="534">
        <f t="shared" si="9"/>
        <v>0</v>
      </c>
      <c r="K118" s="546"/>
      <c r="L118" s="546"/>
      <c r="M118" s="547" t="s">
        <v>228</v>
      </c>
      <c r="N118" s="547" t="s">
        <v>228</v>
      </c>
      <c r="O118" s="548"/>
      <c r="P118" s="549"/>
      <c r="Q118" s="550"/>
      <c r="R118" s="550"/>
      <c r="S118" s="549"/>
      <c r="T118" s="550"/>
      <c r="U118" s="550"/>
      <c r="V118" s="549"/>
      <c r="W118" s="550"/>
      <c r="X118" s="550"/>
      <c r="Y118" s="549"/>
      <c r="Z118" s="550"/>
      <c r="AA118" s="550"/>
      <c r="AB118" s="549"/>
      <c r="AC118" s="550"/>
      <c r="AD118" s="550"/>
      <c r="AE118" s="549"/>
      <c r="AF118" s="550"/>
      <c r="AG118" s="550"/>
      <c r="AH118" s="549"/>
      <c r="AI118" s="550"/>
      <c r="AJ118" s="550"/>
      <c r="AK118" s="549"/>
      <c r="AL118" s="550"/>
      <c r="AM118" s="550"/>
      <c r="AN118" s="549"/>
      <c r="AO118" s="550"/>
      <c r="AP118" s="550"/>
      <c r="AQ118" s="549"/>
      <c r="AR118" s="550"/>
      <c r="AS118" s="550"/>
      <c r="AT118" s="549"/>
      <c r="AU118" s="550"/>
      <c r="AV118" s="550"/>
      <c r="AW118" s="549"/>
      <c r="AX118" s="550"/>
      <c r="AY118" s="550"/>
      <c r="AZ118" s="549"/>
      <c r="BA118" s="550"/>
      <c r="BB118" s="550"/>
      <c r="BC118" s="550"/>
    </row>
    <row r="119" spans="1:55" s="519" customFormat="1">
      <c r="A119" s="531" t="str">
        <f t="shared" si="12"/>
        <v>CP</v>
      </c>
      <c r="B119" s="50" t="str">
        <f t="shared" si="13"/>
        <v>Div12</v>
      </c>
      <c r="C119" s="50" t="s">
        <v>261</v>
      </c>
      <c r="D119" s="532" t="s">
        <v>272</v>
      </c>
      <c r="E119" s="50" t="s">
        <v>52</v>
      </c>
      <c r="F119" s="535" t="str">
        <f>R.9PRImpName3</f>
        <v xml:space="preserve"> </v>
      </c>
      <c r="G119" s="543">
        <f>R.9PRImpHrs3</f>
        <v>0</v>
      </c>
      <c r="H119" s="544">
        <f>Table3[[#This Row],[Hrs Rank]]</f>
        <v>0</v>
      </c>
      <c r="I119" s="534">
        <f t="shared" si="8"/>
        <v>0</v>
      </c>
      <c r="J119" s="534">
        <f t="shared" si="9"/>
        <v>0</v>
      </c>
      <c r="K119" s="546"/>
      <c r="L119" s="546"/>
      <c r="M119" s="547" t="s">
        <v>228</v>
      </c>
      <c r="N119" s="547" t="s">
        <v>228</v>
      </c>
      <c r="O119" s="548"/>
      <c r="P119" s="549"/>
      <c r="Q119" s="550"/>
      <c r="R119" s="550"/>
      <c r="S119" s="549"/>
      <c r="T119" s="550"/>
      <c r="U119" s="550"/>
      <c r="V119" s="549"/>
      <c r="W119" s="550"/>
      <c r="X119" s="550"/>
      <c r="Y119" s="549"/>
      <c r="Z119" s="550"/>
      <c r="AA119" s="550"/>
      <c r="AB119" s="549"/>
      <c r="AC119" s="550"/>
      <c r="AD119" s="550"/>
      <c r="AE119" s="549"/>
      <c r="AF119" s="550"/>
      <c r="AG119" s="550"/>
      <c r="AH119" s="549"/>
      <c r="AI119" s="550"/>
      <c r="AJ119" s="550"/>
      <c r="AK119" s="549"/>
      <c r="AL119" s="550"/>
      <c r="AM119" s="550"/>
      <c r="AN119" s="549"/>
      <c r="AO119" s="550"/>
      <c r="AP119" s="550"/>
      <c r="AQ119" s="549"/>
      <c r="AR119" s="550"/>
      <c r="AS119" s="550"/>
      <c r="AT119" s="549"/>
      <c r="AU119" s="550"/>
      <c r="AV119" s="550"/>
      <c r="AW119" s="549"/>
      <c r="AX119" s="550"/>
      <c r="AY119" s="550"/>
      <c r="AZ119" s="549"/>
      <c r="BA119" s="550"/>
      <c r="BB119" s="550"/>
      <c r="BC119" s="550"/>
    </row>
    <row r="120" spans="1:55" s="519" customFormat="1">
      <c r="A120" s="531" t="str">
        <f t="shared" si="12"/>
        <v>CP</v>
      </c>
      <c r="B120" s="50" t="str">
        <f t="shared" si="13"/>
        <v>Div12</v>
      </c>
      <c r="C120" s="50" t="s">
        <v>261</v>
      </c>
      <c r="D120" s="532" t="s">
        <v>272</v>
      </c>
      <c r="E120" s="50" t="s">
        <v>52</v>
      </c>
      <c r="F120" s="535" t="str">
        <f>R.9PRImpName4</f>
        <v xml:space="preserve"> </v>
      </c>
      <c r="G120" s="543">
        <f>R.9PRImpHrs4</f>
        <v>0</v>
      </c>
      <c r="H120" s="544">
        <f>Table3[[#This Row],[Hrs Rank]]</f>
        <v>0</v>
      </c>
      <c r="I120" s="534">
        <f t="shared" si="8"/>
        <v>0</v>
      </c>
      <c r="J120" s="534">
        <f t="shared" si="9"/>
        <v>0</v>
      </c>
      <c r="K120" s="546"/>
      <c r="L120" s="546"/>
      <c r="M120" s="547" t="s">
        <v>228</v>
      </c>
      <c r="N120" s="547" t="s">
        <v>228</v>
      </c>
      <c r="O120" s="548"/>
      <c r="P120" s="549"/>
      <c r="Q120" s="550"/>
      <c r="R120" s="550"/>
      <c r="S120" s="549"/>
      <c r="T120" s="550"/>
      <c r="U120" s="550"/>
      <c r="V120" s="549"/>
      <c r="W120" s="550"/>
      <c r="X120" s="550"/>
      <c r="Y120" s="549"/>
      <c r="Z120" s="550"/>
      <c r="AA120" s="550"/>
      <c r="AB120" s="549"/>
      <c r="AC120" s="550"/>
      <c r="AD120" s="550"/>
      <c r="AE120" s="549"/>
      <c r="AF120" s="550"/>
      <c r="AG120" s="550"/>
      <c r="AH120" s="549"/>
      <c r="AI120" s="550"/>
      <c r="AJ120" s="550"/>
      <c r="AK120" s="549"/>
      <c r="AL120" s="550"/>
      <c r="AM120" s="550"/>
      <c r="AN120" s="549"/>
      <c r="AO120" s="550"/>
      <c r="AP120" s="550"/>
      <c r="AQ120" s="549"/>
      <c r="AR120" s="550"/>
      <c r="AS120" s="550"/>
      <c r="AT120" s="549"/>
      <c r="AU120" s="550"/>
      <c r="AV120" s="550"/>
      <c r="AW120" s="549"/>
      <c r="AX120" s="550"/>
      <c r="AY120" s="550"/>
      <c r="AZ120" s="549"/>
      <c r="BA120" s="550"/>
      <c r="BB120" s="550"/>
      <c r="BC120" s="550"/>
    </row>
    <row r="121" spans="1:55" s="519" customFormat="1">
      <c r="A121" s="531" t="str">
        <f t="shared" si="12"/>
        <v>CP</v>
      </c>
      <c r="B121" s="50" t="str">
        <f t="shared" si="13"/>
        <v>Div12</v>
      </c>
      <c r="C121" s="50" t="s">
        <v>261</v>
      </c>
      <c r="D121" s="532" t="s">
        <v>106</v>
      </c>
      <c r="E121" s="50" t="s">
        <v>53</v>
      </c>
      <c r="F121" s="535" t="str">
        <f>R.9WebDevName1</f>
        <v>Elle Kozlowski</v>
      </c>
      <c r="G121" s="543">
        <f>R.9WebDevHrs1</f>
        <v>1</v>
      </c>
      <c r="H121" s="544">
        <f>Table3[[#This Row],[Hrs Rank]]</f>
        <v>1</v>
      </c>
      <c r="I121" s="534">
        <f t="shared" si="8"/>
        <v>1</v>
      </c>
      <c r="J121" s="534">
        <f t="shared" si="9"/>
        <v>8</v>
      </c>
      <c r="K121" s="546"/>
      <c r="L121" s="546"/>
      <c r="M121" s="547" t="s">
        <v>228</v>
      </c>
      <c r="N121" s="547" t="s">
        <v>228</v>
      </c>
      <c r="O121" s="548"/>
      <c r="P121" s="549"/>
      <c r="Q121" s="550"/>
      <c r="R121" s="550"/>
      <c r="S121" s="549"/>
      <c r="T121" s="550"/>
      <c r="U121" s="550"/>
      <c r="V121" s="549"/>
      <c r="W121" s="550"/>
      <c r="X121" s="550"/>
      <c r="Y121" s="549"/>
      <c r="Z121" s="550"/>
      <c r="AA121" s="550"/>
      <c r="AB121" s="549"/>
      <c r="AC121" s="550"/>
      <c r="AD121" s="550"/>
      <c r="AE121" s="549"/>
      <c r="AF121" s="550"/>
      <c r="AG121" s="550"/>
      <c r="AH121" s="549"/>
      <c r="AI121" s="550"/>
      <c r="AJ121" s="550"/>
      <c r="AK121" s="549"/>
      <c r="AL121" s="550"/>
      <c r="AM121" s="550"/>
      <c r="AN121" s="549"/>
      <c r="AO121" s="550"/>
      <c r="AP121" s="550"/>
      <c r="AQ121" s="549"/>
      <c r="AR121" s="550"/>
      <c r="AS121" s="550"/>
      <c r="AT121" s="549"/>
      <c r="AU121" s="550"/>
      <c r="AV121" s="550"/>
      <c r="AW121" s="549"/>
      <c r="AX121" s="550"/>
      <c r="AY121" s="550"/>
      <c r="AZ121" s="549"/>
      <c r="BA121" s="550"/>
      <c r="BB121" s="550"/>
      <c r="BC121" s="550"/>
    </row>
    <row r="122" spans="1:55" s="519" customFormat="1">
      <c r="A122" s="531" t="str">
        <f t="shared" si="12"/>
        <v>CP</v>
      </c>
      <c r="B122" s="50" t="str">
        <f t="shared" si="13"/>
        <v>Div12</v>
      </c>
      <c r="C122" s="50" t="s">
        <v>261</v>
      </c>
      <c r="D122" s="532" t="s">
        <v>106</v>
      </c>
      <c r="E122" s="50" t="s">
        <v>53</v>
      </c>
      <c r="F122" s="535" t="str">
        <f>R.9WebDevName2</f>
        <v xml:space="preserve"> </v>
      </c>
      <c r="G122" s="543">
        <f>R.9WebDevHrs2</f>
        <v>0</v>
      </c>
      <c r="H122" s="544">
        <f>Table3[[#This Row],[Hrs Rank]]</f>
        <v>0</v>
      </c>
      <c r="I122" s="534">
        <f t="shared" si="8"/>
        <v>0</v>
      </c>
      <c r="J122" s="534">
        <f t="shared" si="9"/>
        <v>0</v>
      </c>
      <c r="K122" s="546"/>
      <c r="L122" s="546"/>
      <c r="M122" s="547" t="s">
        <v>228</v>
      </c>
      <c r="N122" s="547" t="s">
        <v>228</v>
      </c>
      <c r="O122" s="548"/>
      <c r="P122" s="549"/>
      <c r="Q122" s="550"/>
      <c r="R122" s="550"/>
      <c r="S122" s="549"/>
      <c r="T122" s="550"/>
      <c r="U122" s="550"/>
      <c r="V122" s="549"/>
      <c r="W122" s="550"/>
      <c r="X122" s="550"/>
      <c r="Y122" s="549"/>
      <c r="Z122" s="550"/>
      <c r="AA122" s="550"/>
      <c r="AB122" s="549"/>
      <c r="AC122" s="550"/>
      <c r="AD122" s="550"/>
      <c r="AE122" s="549"/>
      <c r="AF122" s="550"/>
      <c r="AG122" s="550"/>
      <c r="AH122" s="549"/>
      <c r="AI122" s="550"/>
      <c r="AJ122" s="550"/>
      <c r="AK122" s="549"/>
      <c r="AL122" s="550"/>
      <c r="AM122" s="550"/>
      <c r="AN122" s="549"/>
      <c r="AO122" s="550"/>
      <c r="AP122" s="550"/>
      <c r="AQ122" s="549"/>
      <c r="AR122" s="550"/>
      <c r="AS122" s="550"/>
      <c r="AT122" s="549"/>
      <c r="AU122" s="550"/>
      <c r="AV122" s="550"/>
      <c r="AW122" s="549"/>
      <c r="AX122" s="550"/>
      <c r="AY122" s="550"/>
      <c r="AZ122" s="549"/>
      <c r="BA122" s="550"/>
      <c r="BB122" s="550"/>
      <c r="BC122" s="550"/>
    </row>
    <row r="123" spans="1:55" s="519" customFormat="1">
      <c r="A123" s="531" t="str">
        <f t="shared" si="12"/>
        <v>CP</v>
      </c>
      <c r="B123" s="50" t="str">
        <f t="shared" si="13"/>
        <v>Div12</v>
      </c>
      <c r="C123" s="50" t="s">
        <v>261</v>
      </c>
      <c r="D123" s="532" t="s">
        <v>106</v>
      </c>
      <c r="E123" s="50" t="s">
        <v>53</v>
      </c>
      <c r="F123" s="535" t="str">
        <f>R.9WebDevName3</f>
        <v xml:space="preserve"> </v>
      </c>
      <c r="G123" s="543">
        <f>R.9WebDevHrs3</f>
        <v>0</v>
      </c>
      <c r="H123" s="544">
        <f>Table3[[#This Row],[Hrs Rank]]</f>
        <v>0</v>
      </c>
      <c r="I123" s="534">
        <f t="shared" si="8"/>
        <v>0</v>
      </c>
      <c r="J123" s="534">
        <f t="shared" si="9"/>
        <v>0</v>
      </c>
      <c r="K123" s="546"/>
      <c r="L123" s="546"/>
      <c r="M123" s="547" t="s">
        <v>228</v>
      </c>
      <c r="N123" s="547" t="s">
        <v>228</v>
      </c>
      <c r="O123" s="548"/>
      <c r="P123" s="549"/>
      <c r="Q123" s="550"/>
      <c r="R123" s="550"/>
      <c r="S123" s="549"/>
      <c r="T123" s="550"/>
      <c r="U123" s="550"/>
      <c r="V123" s="549"/>
      <c r="W123" s="550"/>
      <c r="X123" s="550"/>
      <c r="Y123" s="549"/>
      <c r="Z123" s="550"/>
      <c r="AA123" s="550"/>
      <c r="AB123" s="549"/>
      <c r="AC123" s="550"/>
      <c r="AD123" s="550"/>
      <c r="AE123" s="549"/>
      <c r="AF123" s="550"/>
      <c r="AG123" s="550"/>
      <c r="AH123" s="549"/>
      <c r="AI123" s="550"/>
      <c r="AJ123" s="550"/>
      <c r="AK123" s="549"/>
      <c r="AL123" s="550"/>
      <c r="AM123" s="550"/>
      <c r="AN123" s="549"/>
      <c r="AO123" s="550"/>
      <c r="AP123" s="550"/>
      <c r="AQ123" s="549"/>
      <c r="AR123" s="550"/>
      <c r="AS123" s="550"/>
      <c r="AT123" s="549"/>
      <c r="AU123" s="550"/>
      <c r="AV123" s="550"/>
      <c r="AW123" s="549"/>
      <c r="AX123" s="550"/>
      <c r="AY123" s="550"/>
      <c r="AZ123" s="549"/>
      <c r="BA123" s="550"/>
      <c r="BB123" s="550"/>
      <c r="BC123" s="550"/>
    </row>
    <row r="124" spans="1:55" s="519" customFormat="1">
      <c r="A124" s="531" t="str">
        <f t="shared" si="12"/>
        <v>CP</v>
      </c>
      <c r="B124" s="50" t="str">
        <f t="shared" si="13"/>
        <v>Div12</v>
      </c>
      <c r="C124" s="50" t="s">
        <v>261</v>
      </c>
      <c r="D124" s="532" t="s">
        <v>106</v>
      </c>
      <c r="E124" s="50" t="s">
        <v>53</v>
      </c>
      <c r="F124" s="535" t="str">
        <f>R.9WebDevName4</f>
        <v xml:space="preserve"> </v>
      </c>
      <c r="G124" s="543">
        <f>R.9WebDevHrs4</f>
        <v>0</v>
      </c>
      <c r="H124" s="544">
        <f>Table3[[#This Row],[Hrs Rank]]</f>
        <v>0</v>
      </c>
      <c r="I124" s="534">
        <f t="shared" si="8"/>
        <v>0</v>
      </c>
      <c r="J124" s="534">
        <f t="shared" si="9"/>
        <v>0</v>
      </c>
      <c r="K124" s="546"/>
      <c r="L124" s="546"/>
      <c r="M124" s="547" t="s">
        <v>228</v>
      </c>
      <c r="N124" s="547" t="s">
        <v>228</v>
      </c>
      <c r="O124" s="548"/>
      <c r="P124" s="549"/>
      <c r="Q124" s="550"/>
      <c r="R124" s="550"/>
      <c r="S124" s="549"/>
      <c r="T124" s="550"/>
      <c r="U124" s="550"/>
      <c r="V124" s="549"/>
      <c r="W124" s="550"/>
      <c r="X124" s="550"/>
      <c r="Y124" s="549"/>
      <c r="Z124" s="550"/>
      <c r="AA124" s="550"/>
      <c r="AB124" s="549"/>
      <c r="AC124" s="550"/>
      <c r="AD124" s="550"/>
      <c r="AE124" s="549"/>
      <c r="AF124" s="550"/>
      <c r="AG124" s="550"/>
      <c r="AH124" s="549"/>
      <c r="AI124" s="550"/>
      <c r="AJ124" s="550"/>
      <c r="AK124" s="549"/>
      <c r="AL124" s="550"/>
      <c r="AM124" s="550"/>
      <c r="AN124" s="549"/>
      <c r="AO124" s="550"/>
      <c r="AP124" s="550"/>
      <c r="AQ124" s="549"/>
      <c r="AR124" s="550"/>
      <c r="AS124" s="550"/>
      <c r="AT124" s="549"/>
      <c r="AU124" s="550"/>
      <c r="AV124" s="550"/>
      <c r="AW124" s="549"/>
      <c r="AX124" s="550"/>
      <c r="AY124" s="550"/>
      <c r="AZ124" s="549"/>
      <c r="BA124" s="550"/>
      <c r="BB124" s="550"/>
      <c r="BC124" s="550"/>
    </row>
    <row r="125" spans="1:55" s="519" customFormat="1">
      <c r="A125" s="531" t="str">
        <f t="shared" si="12"/>
        <v>CP</v>
      </c>
      <c r="B125" s="50" t="str">
        <f t="shared" si="13"/>
        <v>Div12</v>
      </c>
      <c r="C125" s="50" t="s">
        <v>261</v>
      </c>
      <c r="D125" s="532" t="s">
        <v>106</v>
      </c>
      <c r="E125" s="50" t="s">
        <v>52</v>
      </c>
      <c r="F125" s="535" t="str">
        <f>R.9WebImpName1</f>
        <v>Elle Kozlowski</v>
      </c>
      <c r="G125" s="543">
        <f>R.9WebImpHrs1</f>
        <v>1</v>
      </c>
      <c r="H125" s="544">
        <f>Table3[[#This Row],[Hrs Rank]]</f>
        <v>1</v>
      </c>
      <c r="I125" s="534">
        <f t="shared" si="8"/>
        <v>1</v>
      </c>
      <c r="J125" s="534">
        <f t="shared" si="9"/>
        <v>8</v>
      </c>
      <c r="K125" s="546"/>
      <c r="L125" s="546"/>
      <c r="M125" s="547" t="s">
        <v>228</v>
      </c>
      <c r="N125" s="547" t="s">
        <v>228</v>
      </c>
      <c r="O125" s="548"/>
      <c r="P125" s="549"/>
      <c r="Q125" s="550"/>
      <c r="R125" s="550"/>
      <c r="S125" s="549"/>
      <c r="T125" s="550"/>
      <c r="U125" s="550"/>
      <c r="V125" s="549"/>
      <c r="W125" s="550"/>
      <c r="X125" s="550"/>
      <c r="Y125" s="549"/>
      <c r="Z125" s="550"/>
      <c r="AA125" s="550"/>
      <c r="AB125" s="549"/>
      <c r="AC125" s="550"/>
      <c r="AD125" s="550"/>
      <c r="AE125" s="549"/>
      <c r="AF125" s="550"/>
      <c r="AG125" s="550"/>
      <c r="AH125" s="549"/>
      <c r="AI125" s="550"/>
      <c r="AJ125" s="550"/>
      <c r="AK125" s="549"/>
      <c r="AL125" s="550"/>
      <c r="AM125" s="550"/>
      <c r="AN125" s="549"/>
      <c r="AO125" s="550"/>
      <c r="AP125" s="550"/>
      <c r="AQ125" s="549"/>
      <c r="AR125" s="550"/>
      <c r="AS125" s="550"/>
      <c r="AT125" s="549"/>
      <c r="AU125" s="550"/>
      <c r="AV125" s="550"/>
      <c r="AW125" s="549"/>
      <c r="AX125" s="550"/>
      <c r="AY125" s="550"/>
      <c r="AZ125" s="549"/>
      <c r="BA125" s="550"/>
      <c r="BB125" s="550"/>
      <c r="BC125" s="550"/>
    </row>
    <row r="126" spans="1:55" s="519" customFormat="1">
      <c r="A126" s="531" t="str">
        <f t="shared" si="12"/>
        <v>CP</v>
      </c>
      <c r="B126" s="50" t="str">
        <f t="shared" si="13"/>
        <v>Div12</v>
      </c>
      <c r="C126" s="50" t="s">
        <v>261</v>
      </c>
      <c r="D126" s="532" t="s">
        <v>106</v>
      </c>
      <c r="E126" s="50" t="s">
        <v>52</v>
      </c>
      <c r="F126" s="535" t="str">
        <f>R.9WebImpName2</f>
        <v xml:space="preserve"> </v>
      </c>
      <c r="G126" s="543">
        <f>R.9WebImpHrs2</f>
        <v>0</v>
      </c>
      <c r="H126" s="544">
        <f>Table3[[#This Row],[Hrs Rank]]</f>
        <v>0</v>
      </c>
      <c r="I126" s="534">
        <f t="shared" si="8"/>
        <v>0</v>
      </c>
      <c r="J126" s="534">
        <f t="shared" si="9"/>
        <v>0</v>
      </c>
      <c r="K126" s="546"/>
      <c r="L126" s="546"/>
      <c r="M126" s="547" t="s">
        <v>228</v>
      </c>
      <c r="N126" s="547" t="s">
        <v>228</v>
      </c>
      <c r="O126" s="548"/>
      <c r="P126" s="549"/>
      <c r="Q126" s="550"/>
      <c r="R126" s="550"/>
      <c r="S126" s="549"/>
      <c r="T126" s="550"/>
      <c r="U126" s="550"/>
      <c r="V126" s="549"/>
      <c r="W126" s="550"/>
      <c r="X126" s="550"/>
      <c r="Y126" s="549"/>
      <c r="Z126" s="550"/>
      <c r="AA126" s="550"/>
      <c r="AB126" s="549"/>
      <c r="AC126" s="550"/>
      <c r="AD126" s="550"/>
      <c r="AE126" s="549"/>
      <c r="AF126" s="550"/>
      <c r="AG126" s="550"/>
      <c r="AH126" s="549"/>
      <c r="AI126" s="550"/>
      <c r="AJ126" s="550"/>
      <c r="AK126" s="549"/>
      <c r="AL126" s="550"/>
      <c r="AM126" s="550"/>
      <c r="AN126" s="549"/>
      <c r="AO126" s="550"/>
      <c r="AP126" s="550"/>
      <c r="AQ126" s="549"/>
      <c r="AR126" s="550"/>
      <c r="AS126" s="550"/>
      <c r="AT126" s="549"/>
      <c r="AU126" s="550"/>
      <c r="AV126" s="550"/>
      <c r="AW126" s="549"/>
      <c r="AX126" s="550"/>
      <c r="AY126" s="550"/>
      <c r="AZ126" s="549"/>
      <c r="BA126" s="550"/>
      <c r="BB126" s="550"/>
      <c r="BC126" s="550"/>
    </row>
    <row r="127" spans="1:55" s="519" customFormat="1">
      <c r="A127" s="531" t="str">
        <f t="shared" si="12"/>
        <v>CP</v>
      </c>
      <c r="B127" s="50" t="str">
        <f t="shared" si="13"/>
        <v>Div12</v>
      </c>
      <c r="C127" s="50" t="s">
        <v>261</v>
      </c>
      <c r="D127" s="532" t="s">
        <v>106</v>
      </c>
      <c r="E127" s="50" t="s">
        <v>52</v>
      </c>
      <c r="F127" s="535" t="str">
        <f>R.9WebImpName3</f>
        <v xml:space="preserve"> </v>
      </c>
      <c r="G127" s="543">
        <f>R.9WebImpHrs3</f>
        <v>0</v>
      </c>
      <c r="H127" s="544">
        <f>Table3[[#This Row],[Hrs Rank]]</f>
        <v>0</v>
      </c>
      <c r="I127" s="534">
        <f t="shared" si="8"/>
        <v>0</v>
      </c>
      <c r="J127" s="534">
        <f t="shared" si="9"/>
        <v>0</v>
      </c>
      <c r="K127" s="546"/>
      <c r="L127" s="546"/>
      <c r="M127" s="547" t="s">
        <v>228</v>
      </c>
      <c r="N127" s="547" t="s">
        <v>228</v>
      </c>
      <c r="O127" s="548"/>
      <c r="P127" s="549"/>
      <c r="Q127" s="550"/>
      <c r="R127" s="550"/>
      <c r="S127" s="549"/>
      <c r="T127" s="550"/>
      <c r="U127" s="550"/>
      <c r="V127" s="549"/>
      <c r="W127" s="550"/>
      <c r="X127" s="550"/>
      <c r="Y127" s="549"/>
      <c r="Z127" s="550"/>
      <c r="AA127" s="550"/>
      <c r="AB127" s="549"/>
      <c r="AC127" s="550"/>
      <c r="AD127" s="550"/>
      <c r="AE127" s="549"/>
      <c r="AF127" s="550"/>
      <c r="AG127" s="550"/>
      <c r="AH127" s="549"/>
      <c r="AI127" s="550"/>
      <c r="AJ127" s="550"/>
      <c r="AK127" s="549"/>
      <c r="AL127" s="550"/>
      <c r="AM127" s="550"/>
      <c r="AN127" s="549"/>
      <c r="AO127" s="550"/>
      <c r="AP127" s="550"/>
      <c r="AQ127" s="549"/>
      <c r="AR127" s="550"/>
      <c r="AS127" s="550"/>
      <c r="AT127" s="549"/>
      <c r="AU127" s="550"/>
      <c r="AV127" s="550"/>
      <c r="AW127" s="549"/>
      <c r="AX127" s="550"/>
      <c r="AY127" s="550"/>
      <c r="AZ127" s="549"/>
      <c r="BA127" s="550"/>
      <c r="BB127" s="550"/>
      <c r="BC127" s="550"/>
    </row>
    <row r="128" spans="1:55" s="519" customFormat="1">
      <c r="A128" s="531" t="str">
        <f t="shared" si="12"/>
        <v>CP</v>
      </c>
      <c r="B128" s="50" t="str">
        <f t="shared" si="13"/>
        <v>Div12</v>
      </c>
      <c r="C128" s="50" t="s">
        <v>261</v>
      </c>
      <c r="D128" s="532" t="s">
        <v>106</v>
      </c>
      <c r="E128" s="50" t="s">
        <v>52</v>
      </c>
      <c r="F128" s="535" t="str">
        <f>R.9WebImpName4</f>
        <v xml:space="preserve"> </v>
      </c>
      <c r="G128" s="543">
        <f>R.9WebImpHrs4</f>
        <v>0</v>
      </c>
      <c r="H128" s="544">
        <f>Table3[[#This Row],[Hrs Rank]]</f>
        <v>0</v>
      </c>
      <c r="I128" s="534">
        <f t="shared" si="8"/>
        <v>0</v>
      </c>
      <c r="J128" s="534">
        <f t="shared" si="9"/>
        <v>0</v>
      </c>
      <c r="K128" s="546"/>
      <c r="L128" s="546"/>
      <c r="M128" s="547" t="s">
        <v>228</v>
      </c>
      <c r="N128" s="547" t="s">
        <v>228</v>
      </c>
      <c r="O128" s="548"/>
      <c r="P128" s="549"/>
      <c r="Q128" s="550"/>
      <c r="R128" s="550"/>
      <c r="S128" s="549"/>
      <c r="T128" s="550"/>
      <c r="U128" s="550"/>
      <c r="V128" s="549"/>
      <c r="W128" s="550"/>
      <c r="X128" s="550"/>
      <c r="Y128" s="549"/>
      <c r="Z128" s="550"/>
      <c r="AA128" s="550"/>
      <c r="AB128" s="549"/>
      <c r="AC128" s="550"/>
      <c r="AD128" s="550"/>
      <c r="AE128" s="549"/>
      <c r="AF128" s="550"/>
      <c r="AG128" s="550"/>
      <c r="AH128" s="549"/>
      <c r="AI128" s="550"/>
      <c r="AJ128" s="550"/>
      <c r="AK128" s="549"/>
      <c r="AL128" s="550"/>
      <c r="AM128" s="550"/>
      <c r="AN128" s="549"/>
      <c r="AO128" s="550"/>
      <c r="AP128" s="550"/>
      <c r="AQ128" s="549"/>
      <c r="AR128" s="550"/>
      <c r="AS128" s="550"/>
      <c r="AT128" s="549"/>
      <c r="AU128" s="550"/>
      <c r="AV128" s="550"/>
      <c r="AW128" s="549"/>
      <c r="AX128" s="550"/>
      <c r="AY128" s="550"/>
      <c r="AZ128" s="549"/>
      <c r="BA128" s="550"/>
      <c r="BB128" s="550"/>
      <c r="BC128" s="550"/>
    </row>
    <row r="129" spans="1:55" s="519" customFormat="1">
      <c r="A129" s="531" t="str">
        <f t="shared" si="12"/>
        <v>CP</v>
      </c>
      <c r="B129" s="50" t="str">
        <f t="shared" si="13"/>
        <v>Div12</v>
      </c>
      <c r="C129" s="50" t="s">
        <v>262</v>
      </c>
      <c r="D129" s="532" t="s">
        <v>142</v>
      </c>
      <c r="E129" s="50" t="s">
        <v>53</v>
      </c>
      <c r="F129" s="535">
        <f>R.10HRDevName1</f>
        <v>0</v>
      </c>
      <c r="G129" s="543">
        <f>R.10HRDevHrs1</f>
        <v>0</v>
      </c>
      <c r="H129" s="544">
        <f>Table3[[#This Row],[Hrs Rank]]</f>
        <v>0</v>
      </c>
      <c r="I129" s="534">
        <f t="shared" si="8"/>
        <v>0</v>
      </c>
      <c r="J129" s="534">
        <f t="shared" si="9"/>
        <v>0</v>
      </c>
      <c r="K129" s="546"/>
      <c r="L129" s="546"/>
      <c r="M129" s="547" t="s">
        <v>228</v>
      </c>
      <c r="N129" s="547" t="s">
        <v>228</v>
      </c>
      <c r="O129" s="548"/>
      <c r="P129" s="549"/>
      <c r="Q129" s="550"/>
      <c r="R129" s="550"/>
      <c r="S129" s="549"/>
      <c r="T129" s="550"/>
      <c r="U129" s="550"/>
      <c r="V129" s="549"/>
      <c r="W129" s="550"/>
      <c r="X129" s="550"/>
      <c r="Y129" s="549"/>
      <c r="Z129" s="550"/>
      <c r="AA129" s="550"/>
      <c r="AB129" s="549"/>
      <c r="AC129" s="550"/>
      <c r="AD129" s="550"/>
      <c r="AE129" s="549"/>
      <c r="AF129" s="550"/>
      <c r="AG129" s="550"/>
      <c r="AH129" s="549"/>
      <c r="AI129" s="550"/>
      <c r="AJ129" s="550"/>
      <c r="AK129" s="549"/>
      <c r="AL129" s="550"/>
      <c r="AM129" s="550"/>
      <c r="AN129" s="549"/>
      <c r="AO129" s="550"/>
      <c r="AP129" s="550"/>
      <c r="AQ129" s="549"/>
      <c r="AR129" s="550"/>
      <c r="AS129" s="550"/>
      <c r="AT129" s="549"/>
      <c r="AU129" s="550"/>
      <c r="AV129" s="550"/>
      <c r="AW129" s="549"/>
      <c r="AX129" s="550"/>
      <c r="AY129" s="550"/>
      <c r="AZ129" s="549"/>
      <c r="BA129" s="550"/>
      <c r="BB129" s="550"/>
      <c r="BC129" s="550"/>
    </row>
    <row r="130" spans="1:55" s="519" customFormat="1">
      <c r="A130" s="531" t="str">
        <f t="shared" si="12"/>
        <v>CP</v>
      </c>
      <c r="B130" s="50" t="str">
        <f t="shared" si="13"/>
        <v>Div12</v>
      </c>
      <c r="C130" s="50" t="s">
        <v>262</v>
      </c>
      <c r="D130" s="532" t="s">
        <v>142</v>
      </c>
      <c r="E130" s="50" t="s">
        <v>53</v>
      </c>
      <c r="F130" s="535">
        <f>R.10HRDevName2</f>
        <v>0</v>
      </c>
      <c r="G130" s="543">
        <f>R.10HRDevHrs2</f>
        <v>0</v>
      </c>
      <c r="H130" s="544">
        <f>Table3[[#This Row],[Hrs Rank]]</f>
        <v>0</v>
      </c>
      <c r="I130" s="534">
        <f t="shared" si="8"/>
        <v>0</v>
      </c>
      <c r="J130" s="534">
        <f t="shared" si="9"/>
        <v>0</v>
      </c>
      <c r="K130" s="546"/>
      <c r="L130" s="546"/>
      <c r="M130" s="547" t="s">
        <v>228</v>
      </c>
      <c r="N130" s="547" t="s">
        <v>228</v>
      </c>
      <c r="O130" s="548"/>
      <c r="P130" s="549"/>
      <c r="Q130" s="550"/>
      <c r="R130" s="550"/>
      <c r="S130" s="549"/>
      <c r="T130" s="550"/>
      <c r="U130" s="550"/>
      <c r="V130" s="549"/>
      <c r="W130" s="550"/>
      <c r="X130" s="550"/>
      <c r="Y130" s="549"/>
      <c r="Z130" s="550"/>
      <c r="AA130" s="550"/>
      <c r="AB130" s="549"/>
      <c r="AC130" s="550"/>
      <c r="AD130" s="550"/>
      <c r="AE130" s="549"/>
      <c r="AF130" s="550"/>
      <c r="AG130" s="550"/>
      <c r="AH130" s="549"/>
      <c r="AI130" s="550"/>
      <c r="AJ130" s="550"/>
      <c r="AK130" s="549"/>
      <c r="AL130" s="550"/>
      <c r="AM130" s="550"/>
      <c r="AN130" s="549"/>
      <c r="AO130" s="550"/>
      <c r="AP130" s="550"/>
      <c r="AQ130" s="549"/>
      <c r="AR130" s="550"/>
      <c r="AS130" s="550"/>
      <c r="AT130" s="549"/>
      <c r="AU130" s="550"/>
      <c r="AV130" s="550"/>
      <c r="AW130" s="549"/>
      <c r="AX130" s="550"/>
      <c r="AY130" s="550"/>
      <c r="AZ130" s="549"/>
      <c r="BA130" s="550"/>
      <c r="BB130" s="550"/>
      <c r="BC130" s="550"/>
    </row>
    <row r="131" spans="1:55" s="519" customFormat="1">
      <c r="A131" s="531" t="str">
        <f t="shared" si="12"/>
        <v>CP</v>
      </c>
      <c r="B131" s="50" t="str">
        <f t="shared" si="13"/>
        <v>Div12</v>
      </c>
      <c r="C131" s="50" t="s">
        <v>262</v>
      </c>
      <c r="D131" s="532" t="s">
        <v>142</v>
      </c>
      <c r="E131" s="50" t="s">
        <v>53</v>
      </c>
      <c r="F131" s="535">
        <f>R.10HRDevName3</f>
        <v>0</v>
      </c>
      <c r="G131" s="543">
        <f>R.10HRDevHrs3</f>
        <v>0</v>
      </c>
      <c r="H131" s="544">
        <f>Table3[[#This Row],[Hrs Rank]]</f>
        <v>0</v>
      </c>
      <c r="I131" s="534">
        <f t="shared" ref="I131:I194" si="14">IF(ISNA(VLOOKUP($H131,R.VL_DEQResourceHours,2,FALSE)),0,VLOOKUP($H131,R.VL_DEQResourceHours,2,FALSE))</f>
        <v>0</v>
      </c>
      <c r="J131" s="534">
        <f t="shared" ref="J131:J194" si="15">IF(ISNA(VLOOKUP($H131,R.VL_DEQResourceHours,3,FALSE)),0,VLOOKUP($H131,R.VL_DEQResourceHours,3,FALSE))</f>
        <v>0</v>
      </c>
      <c r="K131" s="546"/>
      <c r="L131" s="546"/>
      <c r="M131" s="547" t="s">
        <v>228</v>
      </c>
      <c r="N131" s="547" t="s">
        <v>228</v>
      </c>
      <c r="O131" s="548"/>
      <c r="P131" s="549"/>
      <c r="Q131" s="550"/>
      <c r="R131" s="550"/>
      <c r="S131" s="549"/>
      <c r="T131" s="550"/>
      <c r="U131" s="550"/>
      <c r="V131" s="549"/>
      <c r="W131" s="550"/>
      <c r="X131" s="550"/>
      <c r="Y131" s="549"/>
      <c r="Z131" s="550"/>
      <c r="AA131" s="550"/>
      <c r="AB131" s="549"/>
      <c r="AC131" s="550"/>
      <c r="AD131" s="550"/>
      <c r="AE131" s="549"/>
      <c r="AF131" s="550"/>
      <c r="AG131" s="550"/>
      <c r="AH131" s="549"/>
      <c r="AI131" s="550"/>
      <c r="AJ131" s="550"/>
      <c r="AK131" s="549"/>
      <c r="AL131" s="550"/>
      <c r="AM131" s="550"/>
      <c r="AN131" s="549"/>
      <c r="AO131" s="550"/>
      <c r="AP131" s="550"/>
      <c r="AQ131" s="549"/>
      <c r="AR131" s="550"/>
      <c r="AS131" s="550"/>
      <c r="AT131" s="549"/>
      <c r="AU131" s="550"/>
      <c r="AV131" s="550"/>
      <c r="AW131" s="549"/>
      <c r="AX131" s="550"/>
      <c r="AY131" s="550"/>
      <c r="AZ131" s="549"/>
      <c r="BA131" s="550"/>
      <c r="BB131" s="550"/>
      <c r="BC131" s="550"/>
    </row>
    <row r="132" spans="1:55" s="519" customFormat="1">
      <c r="A132" s="531" t="str">
        <f t="shared" si="12"/>
        <v>CP</v>
      </c>
      <c r="B132" s="50" t="str">
        <f t="shared" si="13"/>
        <v>Div12</v>
      </c>
      <c r="C132" s="50" t="s">
        <v>262</v>
      </c>
      <c r="D132" s="532" t="s">
        <v>142</v>
      </c>
      <c r="E132" s="50" t="s">
        <v>53</v>
      </c>
      <c r="F132" s="535" t="str">
        <f>R.10HRDevName4</f>
        <v xml:space="preserve"> </v>
      </c>
      <c r="G132" s="543">
        <f>R.10HRDevHrs4</f>
        <v>0</v>
      </c>
      <c r="H132" s="544">
        <f>Table3[[#This Row],[Hrs Rank]]</f>
        <v>0</v>
      </c>
      <c r="I132" s="534">
        <f t="shared" si="14"/>
        <v>0</v>
      </c>
      <c r="J132" s="534">
        <f t="shared" si="15"/>
        <v>0</v>
      </c>
      <c r="K132" s="546"/>
      <c r="L132" s="546"/>
      <c r="M132" s="547" t="s">
        <v>228</v>
      </c>
      <c r="N132" s="547" t="s">
        <v>228</v>
      </c>
      <c r="O132" s="548"/>
      <c r="P132" s="549"/>
      <c r="Q132" s="550"/>
      <c r="R132" s="550"/>
      <c r="S132" s="549"/>
      <c r="T132" s="550"/>
      <c r="U132" s="550"/>
      <c r="V132" s="549"/>
      <c r="W132" s="550"/>
      <c r="X132" s="550"/>
      <c r="Y132" s="549"/>
      <c r="Z132" s="550"/>
      <c r="AA132" s="550"/>
      <c r="AB132" s="549"/>
      <c r="AC132" s="550"/>
      <c r="AD132" s="550"/>
      <c r="AE132" s="549"/>
      <c r="AF132" s="550"/>
      <c r="AG132" s="550"/>
      <c r="AH132" s="549"/>
      <c r="AI132" s="550"/>
      <c r="AJ132" s="550"/>
      <c r="AK132" s="549"/>
      <c r="AL132" s="550"/>
      <c r="AM132" s="550"/>
      <c r="AN132" s="549"/>
      <c r="AO132" s="550"/>
      <c r="AP132" s="550"/>
      <c r="AQ132" s="549"/>
      <c r="AR132" s="550"/>
      <c r="AS132" s="550"/>
      <c r="AT132" s="549"/>
      <c r="AU132" s="550"/>
      <c r="AV132" s="550"/>
      <c r="AW132" s="549"/>
      <c r="AX132" s="550"/>
      <c r="AY132" s="550"/>
      <c r="AZ132" s="549"/>
      <c r="BA132" s="550"/>
      <c r="BB132" s="550"/>
      <c r="BC132" s="550"/>
    </row>
    <row r="133" spans="1:55" s="519" customFormat="1">
      <c r="A133" s="531" t="str">
        <f t="shared" si="12"/>
        <v>CP</v>
      </c>
      <c r="B133" s="50" t="str">
        <f t="shared" si="13"/>
        <v>Div12</v>
      </c>
      <c r="C133" s="50" t="s">
        <v>262</v>
      </c>
      <c r="D133" s="532" t="s">
        <v>142</v>
      </c>
      <c r="E133" s="50" t="s">
        <v>52</v>
      </c>
      <c r="F133" s="535">
        <f>R.10HRImpName1</f>
        <v>0</v>
      </c>
      <c r="G133" s="543">
        <f>R.10HRImpHrs1</f>
        <v>0</v>
      </c>
      <c r="H133" s="544">
        <f>Table3[[#This Row],[Hrs Rank]]</f>
        <v>0</v>
      </c>
      <c r="I133" s="534">
        <f t="shared" si="14"/>
        <v>0</v>
      </c>
      <c r="J133" s="534">
        <f t="shared" si="15"/>
        <v>0</v>
      </c>
      <c r="K133" s="546"/>
      <c r="L133" s="546"/>
      <c r="M133" s="547" t="s">
        <v>228</v>
      </c>
      <c r="N133" s="547" t="s">
        <v>228</v>
      </c>
      <c r="O133" s="548"/>
      <c r="P133" s="549"/>
      <c r="Q133" s="550"/>
      <c r="R133" s="550"/>
      <c r="S133" s="549"/>
      <c r="T133" s="550"/>
      <c r="U133" s="550"/>
      <c r="V133" s="549"/>
      <c r="W133" s="550"/>
      <c r="X133" s="550"/>
      <c r="Y133" s="549"/>
      <c r="Z133" s="550"/>
      <c r="AA133" s="550"/>
      <c r="AB133" s="549"/>
      <c r="AC133" s="550"/>
      <c r="AD133" s="550"/>
      <c r="AE133" s="549"/>
      <c r="AF133" s="550"/>
      <c r="AG133" s="550"/>
      <c r="AH133" s="549"/>
      <c r="AI133" s="550"/>
      <c r="AJ133" s="550"/>
      <c r="AK133" s="549"/>
      <c r="AL133" s="550"/>
      <c r="AM133" s="550"/>
      <c r="AN133" s="549"/>
      <c r="AO133" s="550"/>
      <c r="AP133" s="550"/>
      <c r="AQ133" s="549"/>
      <c r="AR133" s="550"/>
      <c r="AS133" s="550"/>
      <c r="AT133" s="549"/>
      <c r="AU133" s="550"/>
      <c r="AV133" s="550"/>
      <c r="AW133" s="549"/>
      <c r="AX133" s="550"/>
      <c r="AY133" s="550"/>
      <c r="AZ133" s="549"/>
      <c r="BA133" s="550"/>
      <c r="BB133" s="550"/>
      <c r="BC133" s="550"/>
    </row>
    <row r="134" spans="1:55" s="519" customFormat="1">
      <c r="A134" s="531" t="str">
        <f t="shared" si="12"/>
        <v>CP</v>
      </c>
      <c r="B134" s="50" t="str">
        <f t="shared" si="13"/>
        <v>Div12</v>
      </c>
      <c r="C134" s="50" t="s">
        <v>262</v>
      </c>
      <c r="D134" s="532" t="s">
        <v>142</v>
      </c>
      <c r="E134" s="50" t="s">
        <v>52</v>
      </c>
      <c r="F134" s="535" t="str">
        <f>R.10HRImpName2</f>
        <v xml:space="preserve"> </v>
      </c>
      <c r="G134" s="543">
        <f>R.10HRImpHrs2</f>
        <v>0</v>
      </c>
      <c r="H134" s="544">
        <f>Table3[[#This Row],[Hrs Rank]]</f>
        <v>0</v>
      </c>
      <c r="I134" s="534">
        <f t="shared" si="14"/>
        <v>0</v>
      </c>
      <c r="J134" s="534">
        <f t="shared" si="15"/>
        <v>0</v>
      </c>
      <c r="K134" s="546"/>
      <c r="L134" s="546"/>
      <c r="M134" s="547" t="s">
        <v>228</v>
      </c>
      <c r="N134" s="547" t="s">
        <v>228</v>
      </c>
      <c r="O134" s="548"/>
      <c r="P134" s="549"/>
      <c r="Q134" s="550"/>
      <c r="R134" s="550"/>
      <c r="S134" s="549"/>
      <c r="T134" s="550"/>
      <c r="U134" s="550"/>
      <c r="V134" s="549"/>
      <c r="W134" s="550"/>
      <c r="X134" s="550"/>
      <c r="Y134" s="549"/>
      <c r="Z134" s="550"/>
      <c r="AA134" s="550"/>
      <c r="AB134" s="549"/>
      <c r="AC134" s="550"/>
      <c r="AD134" s="550"/>
      <c r="AE134" s="549"/>
      <c r="AF134" s="550"/>
      <c r="AG134" s="550"/>
      <c r="AH134" s="549"/>
      <c r="AI134" s="550"/>
      <c r="AJ134" s="550"/>
      <c r="AK134" s="549"/>
      <c r="AL134" s="550"/>
      <c r="AM134" s="550"/>
      <c r="AN134" s="549"/>
      <c r="AO134" s="550"/>
      <c r="AP134" s="550"/>
      <c r="AQ134" s="549"/>
      <c r="AR134" s="550"/>
      <c r="AS134" s="550"/>
      <c r="AT134" s="549"/>
      <c r="AU134" s="550"/>
      <c r="AV134" s="550"/>
      <c r="AW134" s="549"/>
      <c r="AX134" s="550"/>
      <c r="AY134" s="550"/>
      <c r="AZ134" s="549"/>
      <c r="BA134" s="550"/>
      <c r="BB134" s="550"/>
      <c r="BC134" s="550"/>
    </row>
    <row r="135" spans="1:55" s="519" customFormat="1">
      <c r="A135" s="531" t="str">
        <f t="shared" si="12"/>
        <v>CP</v>
      </c>
      <c r="B135" s="50" t="str">
        <f t="shared" si="13"/>
        <v>Div12</v>
      </c>
      <c r="C135" s="50" t="s">
        <v>262</v>
      </c>
      <c r="D135" s="532" t="s">
        <v>142</v>
      </c>
      <c r="E135" s="50" t="s">
        <v>52</v>
      </c>
      <c r="F135" s="535" t="str">
        <f>R.10HRImpName3</f>
        <v xml:space="preserve"> </v>
      </c>
      <c r="G135" s="543">
        <f>R.10HRImpHrs3</f>
        <v>0</v>
      </c>
      <c r="H135" s="544">
        <f>Table3[[#This Row],[Hrs Rank]]</f>
        <v>0</v>
      </c>
      <c r="I135" s="534">
        <f t="shared" si="14"/>
        <v>0</v>
      </c>
      <c r="J135" s="534">
        <f t="shared" si="15"/>
        <v>0</v>
      </c>
      <c r="K135" s="546"/>
      <c r="L135" s="546"/>
      <c r="M135" s="547" t="s">
        <v>228</v>
      </c>
      <c r="N135" s="547" t="s">
        <v>228</v>
      </c>
      <c r="O135" s="548"/>
      <c r="P135" s="549"/>
      <c r="Q135" s="550"/>
      <c r="R135" s="550"/>
      <c r="S135" s="549"/>
      <c r="T135" s="550"/>
      <c r="U135" s="550"/>
      <c r="V135" s="549"/>
      <c r="W135" s="550"/>
      <c r="X135" s="550"/>
      <c r="Y135" s="549"/>
      <c r="Z135" s="550"/>
      <c r="AA135" s="550"/>
      <c r="AB135" s="549"/>
      <c r="AC135" s="550"/>
      <c r="AD135" s="550"/>
      <c r="AE135" s="549"/>
      <c r="AF135" s="550"/>
      <c r="AG135" s="550"/>
      <c r="AH135" s="549"/>
      <c r="AI135" s="550"/>
      <c r="AJ135" s="550"/>
      <c r="AK135" s="549"/>
      <c r="AL135" s="550"/>
      <c r="AM135" s="550"/>
      <c r="AN135" s="549"/>
      <c r="AO135" s="550"/>
      <c r="AP135" s="550"/>
      <c r="AQ135" s="549"/>
      <c r="AR135" s="550"/>
      <c r="AS135" s="550"/>
      <c r="AT135" s="549"/>
      <c r="AU135" s="550"/>
      <c r="AV135" s="550"/>
      <c r="AW135" s="549"/>
      <c r="AX135" s="550"/>
      <c r="AY135" s="550"/>
      <c r="AZ135" s="549"/>
      <c r="BA135" s="550"/>
      <c r="BB135" s="550"/>
      <c r="BC135" s="550"/>
    </row>
    <row r="136" spans="1:55" s="519" customFormat="1">
      <c r="A136" s="531" t="str">
        <f t="shared" si="12"/>
        <v>CP</v>
      </c>
      <c r="B136" s="50" t="str">
        <f t="shared" si="13"/>
        <v>Div12</v>
      </c>
      <c r="C136" s="50" t="s">
        <v>262</v>
      </c>
      <c r="D136" s="532" t="s">
        <v>142</v>
      </c>
      <c r="E136" s="50" t="s">
        <v>52</v>
      </c>
      <c r="F136" s="535" t="str">
        <f>R.10HRImpName4</f>
        <v xml:space="preserve"> </v>
      </c>
      <c r="G136" s="543">
        <f>R.10HRImpHrs4</f>
        <v>0</v>
      </c>
      <c r="H136" s="544">
        <f>Table3[[#This Row],[Hrs Rank]]</f>
        <v>0</v>
      </c>
      <c r="I136" s="534">
        <f t="shared" si="14"/>
        <v>0</v>
      </c>
      <c r="J136" s="534">
        <f t="shared" si="15"/>
        <v>0</v>
      </c>
      <c r="K136" s="546"/>
      <c r="L136" s="546"/>
      <c r="M136" s="547" t="s">
        <v>228</v>
      </c>
      <c r="N136" s="547" t="s">
        <v>228</v>
      </c>
      <c r="O136" s="548"/>
      <c r="P136" s="549"/>
      <c r="Q136" s="550"/>
      <c r="R136" s="550"/>
      <c r="S136" s="549"/>
      <c r="T136" s="550"/>
      <c r="U136" s="550"/>
      <c r="V136" s="549"/>
      <c r="W136" s="550"/>
      <c r="X136" s="550"/>
      <c r="Y136" s="549"/>
      <c r="Z136" s="550"/>
      <c r="AA136" s="550"/>
      <c r="AB136" s="549"/>
      <c r="AC136" s="550"/>
      <c r="AD136" s="550"/>
      <c r="AE136" s="549"/>
      <c r="AF136" s="550"/>
      <c r="AG136" s="550"/>
      <c r="AH136" s="549"/>
      <c r="AI136" s="550"/>
      <c r="AJ136" s="550"/>
      <c r="AK136" s="549"/>
      <c r="AL136" s="550"/>
      <c r="AM136" s="550"/>
      <c r="AN136" s="549"/>
      <c r="AO136" s="550"/>
      <c r="AP136" s="550"/>
      <c r="AQ136" s="549"/>
      <c r="AR136" s="550"/>
      <c r="AS136" s="550"/>
      <c r="AT136" s="549"/>
      <c r="AU136" s="550"/>
      <c r="AV136" s="550"/>
      <c r="AW136" s="549"/>
      <c r="AX136" s="550"/>
      <c r="AY136" s="550"/>
      <c r="AZ136" s="549"/>
      <c r="BA136" s="550"/>
      <c r="BB136" s="550"/>
      <c r="BC136" s="550"/>
    </row>
    <row r="137" spans="1:55" s="519" customFormat="1">
      <c r="A137" s="531" t="str">
        <f t="shared" si="12"/>
        <v>CP</v>
      </c>
      <c r="B137" s="50" t="str">
        <f t="shared" si="13"/>
        <v>Div12</v>
      </c>
      <c r="C137" s="50" t="s">
        <v>262</v>
      </c>
      <c r="D137" s="532" t="s">
        <v>141</v>
      </c>
      <c r="E137" s="50" t="s">
        <v>53</v>
      </c>
      <c r="F137" s="535">
        <f>R.10PolicyDevName1</f>
        <v>0</v>
      </c>
      <c r="G137" s="543">
        <f>R.10PolicyDevHrs1</f>
        <v>0</v>
      </c>
      <c r="H137" s="544">
        <f>Table3[[#This Row],[Hrs Rank]]</f>
        <v>0</v>
      </c>
      <c r="I137" s="534">
        <f t="shared" si="14"/>
        <v>0</v>
      </c>
      <c r="J137" s="534">
        <f t="shared" si="15"/>
        <v>0</v>
      </c>
      <c r="K137" s="546"/>
      <c r="L137" s="546"/>
      <c r="M137" s="547" t="s">
        <v>228</v>
      </c>
      <c r="N137" s="547" t="s">
        <v>228</v>
      </c>
      <c r="O137" s="548"/>
      <c r="P137" s="549"/>
      <c r="Q137" s="550"/>
      <c r="R137" s="550"/>
      <c r="S137" s="549"/>
      <c r="T137" s="550"/>
      <c r="U137" s="550"/>
      <c r="V137" s="549"/>
      <c r="W137" s="550"/>
      <c r="X137" s="550"/>
      <c r="Y137" s="549"/>
      <c r="Z137" s="550"/>
      <c r="AA137" s="550"/>
      <c r="AB137" s="549"/>
      <c r="AC137" s="550"/>
      <c r="AD137" s="550"/>
      <c r="AE137" s="549"/>
      <c r="AF137" s="550"/>
      <c r="AG137" s="550"/>
      <c r="AH137" s="549"/>
      <c r="AI137" s="550"/>
      <c r="AJ137" s="550"/>
      <c r="AK137" s="549"/>
      <c r="AL137" s="550"/>
      <c r="AM137" s="550"/>
      <c r="AN137" s="549"/>
      <c r="AO137" s="550"/>
      <c r="AP137" s="550"/>
      <c r="AQ137" s="549"/>
      <c r="AR137" s="550"/>
      <c r="AS137" s="550"/>
      <c r="AT137" s="549"/>
      <c r="AU137" s="550"/>
      <c r="AV137" s="550"/>
      <c r="AW137" s="549"/>
      <c r="AX137" s="550"/>
      <c r="AY137" s="550"/>
      <c r="AZ137" s="549"/>
      <c r="BA137" s="550"/>
      <c r="BB137" s="550"/>
      <c r="BC137" s="550"/>
    </row>
    <row r="138" spans="1:55" s="519" customFormat="1">
      <c r="A138" s="531" t="str">
        <f t="shared" si="12"/>
        <v>CP</v>
      </c>
      <c r="B138" s="50" t="str">
        <f t="shared" si="13"/>
        <v>Div12</v>
      </c>
      <c r="C138" s="50" t="s">
        <v>262</v>
      </c>
      <c r="D138" s="532" t="s">
        <v>141</v>
      </c>
      <c r="E138" s="50" t="s">
        <v>53</v>
      </c>
      <c r="F138" s="535" t="str">
        <f>R.10PolicyDevName2</f>
        <v xml:space="preserve"> </v>
      </c>
      <c r="G138" s="543">
        <f>R.10PolicyDevHrs2</f>
        <v>0</v>
      </c>
      <c r="H138" s="544">
        <f>Table3[[#This Row],[Hrs Rank]]</f>
        <v>0</v>
      </c>
      <c r="I138" s="534">
        <f t="shared" si="14"/>
        <v>0</v>
      </c>
      <c r="J138" s="534">
        <f t="shared" si="15"/>
        <v>0</v>
      </c>
      <c r="K138" s="546"/>
      <c r="L138" s="546"/>
      <c r="M138" s="547" t="s">
        <v>228</v>
      </c>
      <c r="N138" s="547" t="s">
        <v>228</v>
      </c>
      <c r="O138" s="548"/>
      <c r="P138" s="549"/>
      <c r="Q138" s="550"/>
      <c r="R138" s="550"/>
      <c r="S138" s="549"/>
      <c r="T138" s="550"/>
      <c r="U138" s="550"/>
      <c r="V138" s="549"/>
      <c r="W138" s="550"/>
      <c r="X138" s="550"/>
      <c r="Y138" s="549"/>
      <c r="Z138" s="550"/>
      <c r="AA138" s="550"/>
      <c r="AB138" s="549"/>
      <c r="AC138" s="550"/>
      <c r="AD138" s="550"/>
      <c r="AE138" s="549"/>
      <c r="AF138" s="550"/>
      <c r="AG138" s="550"/>
      <c r="AH138" s="549"/>
      <c r="AI138" s="550"/>
      <c r="AJ138" s="550"/>
      <c r="AK138" s="549"/>
      <c r="AL138" s="550"/>
      <c r="AM138" s="550"/>
      <c r="AN138" s="549"/>
      <c r="AO138" s="550"/>
      <c r="AP138" s="550"/>
      <c r="AQ138" s="549"/>
      <c r="AR138" s="550"/>
      <c r="AS138" s="550"/>
      <c r="AT138" s="549"/>
      <c r="AU138" s="550"/>
      <c r="AV138" s="550"/>
      <c r="AW138" s="549"/>
      <c r="AX138" s="550"/>
      <c r="AY138" s="550"/>
      <c r="AZ138" s="549"/>
      <c r="BA138" s="550"/>
      <c r="BB138" s="550"/>
      <c r="BC138" s="550"/>
    </row>
    <row r="139" spans="1:55" s="519" customFormat="1">
      <c r="A139" s="531" t="str">
        <f t="shared" si="12"/>
        <v>CP</v>
      </c>
      <c r="B139" s="50" t="str">
        <f t="shared" si="13"/>
        <v>Div12</v>
      </c>
      <c r="C139" s="50" t="s">
        <v>262</v>
      </c>
      <c r="D139" s="532" t="s">
        <v>141</v>
      </c>
      <c r="E139" s="50" t="s">
        <v>53</v>
      </c>
      <c r="F139" s="535" t="str">
        <f>R.10PolicyDevName3</f>
        <v xml:space="preserve"> </v>
      </c>
      <c r="G139" s="543">
        <f>R.10PolicyDevHrs3</f>
        <v>0</v>
      </c>
      <c r="H139" s="544">
        <f>Table3[[#This Row],[Hrs Rank]]</f>
        <v>0</v>
      </c>
      <c r="I139" s="534">
        <f t="shared" si="14"/>
        <v>0</v>
      </c>
      <c r="J139" s="534">
        <f t="shared" si="15"/>
        <v>0</v>
      </c>
      <c r="K139" s="546"/>
      <c r="L139" s="546"/>
      <c r="M139" s="547" t="s">
        <v>228</v>
      </c>
      <c r="N139" s="547" t="s">
        <v>228</v>
      </c>
      <c r="O139" s="548"/>
      <c r="P139" s="549"/>
      <c r="Q139" s="550"/>
      <c r="R139" s="550"/>
      <c r="S139" s="549"/>
      <c r="T139" s="550"/>
      <c r="U139" s="550"/>
      <c r="V139" s="549"/>
      <c r="W139" s="550"/>
      <c r="X139" s="550"/>
      <c r="Y139" s="549"/>
      <c r="Z139" s="550"/>
      <c r="AA139" s="550"/>
      <c r="AB139" s="549"/>
      <c r="AC139" s="550"/>
      <c r="AD139" s="550"/>
      <c r="AE139" s="549"/>
      <c r="AF139" s="550"/>
      <c r="AG139" s="550"/>
      <c r="AH139" s="549"/>
      <c r="AI139" s="550"/>
      <c r="AJ139" s="550"/>
      <c r="AK139" s="549"/>
      <c r="AL139" s="550"/>
      <c r="AM139" s="550"/>
      <c r="AN139" s="549"/>
      <c r="AO139" s="550"/>
      <c r="AP139" s="550"/>
      <c r="AQ139" s="549"/>
      <c r="AR139" s="550"/>
      <c r="AS139" s="550"/>
      <c r="AT139" s="549"/>
      <c r="AU139" s="550"/>
      <c r="AV139" s="550"/>
      <c r="AW139" s="549"/>
      <c r="AX139" s="550"/>
      <c r="AY139" s="550"/>
      <c r="AZ139" s="549"/>
      <c r="BA139" s="550"/>
      <c r="BB139" s="550"/>
      <c r="BC139" s="550"/>
    </row>
    <row r="140" spans="1:55" s="519" customFormat="1">
      <c r="A140" s="531" t="str">
        <f t="shared" si="12"/>
        <v>CP</v>
      </c>
      <c r="B140" s="50" t="str">
        <f t="shared" si="13"/>
        <v>Div12</v>
      </c>
      <c r="C140" s="50" t="s">
        <v>262</v>
      </c>
      <c r="D140" s="532" t="s">
        <v>141</v>
      </c>
      <c r="E140" s="50" t="s">
        <v>53</v>
      </c>
      <c r="F140" s="535" t="str">
        <f>R.10PolicyDevName4</f>
        <v xml:space="preserve"> </v>
      </c>
      <c r="G140" s="543">
        <f>R.10PolicyDevHrs4</f>
        <v>0</v>
      </c>
      <c r="H140" s="544">
        <f>Table3[[#This Row],[Hrs Rank]]</f>
        <v>0</v>
      </c>
      <c r="I140" s="534">
        <f t="shared" si="14"/>
        <v>0</v>
      </c>
      <c r="J140" s="534">
        <f t="shared" si="15"/>
        <v>0</v>
      </c>
      <c r="K140" s="546"/>
      <c r="L140" s="546"/>
      <c r="M140" s="547" t="s">
        <v>228</v>
      </c>
      <c r="N140" s="547" t="s">
        <v>228</v>
      </c>
      <c r="O140" s="548"/>
      <c r="P140" s="549"/>
      <c r="Q140" s="550"/>
      <c r="R140" s="550"/>
      <c r="S140" s="549"/>
      <c r="T140" s="550"/>
      <c r="U140" s="550"/>
      <c r="V140" s="549"/>
      <c r="W140" s="550"/>
      <c r="X140" s="550"/>
      <c r="Y140" s="549"/>
      <c r="Z140" s="550"/>
      <c r="AA140" s="550"/>
      <c r="AB140" s="549"/>
      <c r="AC140" s="550"/>
      <c r="AD140" s="550"/>
      <c r="AE140" s="549"/>
      <c r="AF140" s="550"/>
      <c r="AG140" s="550"/>
      <c r="AH140" s="549"/>
      <c r="AI140" s="550"/>
      <c r="AJ140" s="550"/>
      <c r="AK140" s="549"/>
      <c r="AL140" s="550"/>
      <c r="AM140" s="550"/>
      <c r="AN140" s="549"/>
      <c r="AO140" s="550"/>
      <c r="AP140" s="550"/>
      <c r="AQ140" s="549"/>
      <c r="AR140" s="550"/>
      <c r="AS140" s="550"/>
      <c r="AT140" s="549"/>
      <c r="AU140" s="550"/>
      <c r="AV140" s="550"/>
      <c r="AW140" s="549"/>
      <c r="AX140" s="550"/>
      <c r="AY140" s="550"/>
      <c r="AZ140" s="549"/>
      <c r="BA140" s="550"/>
      <c r="BB140" s="550"/>
      <c r="BC140" s="550"/>
    </row>
    <row r="141" spans="1:55" s="519" customFormat="1">
      <c r="A141" s="531" t="str">
        <f t="shared" si="12"/>
        <v>CP</v>
      </c>
      <c r="B141" s="50" t="str">
        <f t="shared" si="13"/>
        <v>Div12</v>
      </c>
      <c r="C141" s="50" t="s">
        <v>262</v>
      </c>
      <c r="D141" s="532" t="s">
        <v>141</v>
      </c>
      <c r="E141" s="50" t="s">
        <v>52</v>
      </c>
      <c r="F141" s="535">
        <f>R.10PolicyImpName1</f>
        <v>0</v>
      </c>
      <c r="G141" s="543">
        <f>R.10PolicyImpHrs1</f>
        <v>0</v>
      </c>
      <c r="H141" s="544">
        <f>Table3[[#This Row],[Hrs Rank]]</f>
        <v>0</v>
      </c>
      <c r="I141" s="534">
        <f t="shared" si="14"/>
        <v>0</v>
      </c>
      <c r="J141" s="534">
        <f t="shared" si="15"/>
        <v>0</v>
      </c>
      <c r="K141" s="546"/>
      <c r="L141" s="546"/>
      <c r="M141" s="547" t="s">
        <v>228</v>
      </c>
      <c r="N141" s="547" t="s">
        <v>228</v>
      </c>
      <c r="O141" s="548"/>
      <c r="P141" s="549"/>
      <c r="Q141" s="550"/>
      <c r="R141" s="550"/>
      <c r="S141" s="549"/>
      <c r="T141" s="550"/>
      <c r="U141" s="550"/>
      <c r="V141" s="549"/>
      <c r="W141" s="550"/>
      <c r="X141" s="550"/>
      <c r="Y141" s="549"/>
      <c r="Z141" s="550"/>
      <c r="AA141" s="550"/>
      <c r="AB141" s="549"/>
      <c r="AC141" s="550"/>
      <c r="AD141" s="550"/>
      <c r="AE141" s="549"/>
      <c r="AF141" s="550"/>
      <c r="AG141" s="550"/>
      <c r="AH141" s="549"/>
      <c r="AI141" s="550"/>
      <c r="AJ141" s="550"/>
      <c r="AK141" s="549"/>
      <c r="AL141" s="550"/>
      <c r="AM141" s="550"/>
      <c r="AN141" s="549"/>
      <c r="AO141" s="550"/>
      <c r="AP141" s="550"/>
      <c r="AQ141" s="549"/>
      <c r="AR141" s="550"/>
      <c r="AS141" s="550"/>
      <c r="AT141" s="549"/>
      <c r="AU141" s="550"/>
      <c r="AV141" s="550"/>
      <c r="AW141" s="549"/>
      <c r="AX141" s="550"/>
      <c r="AY141" s="550"/>
      <c r="AZ141" s="549"/>
      <c r="BA141" s="550"/>
      <c r="BB141" s="550"/>
      <c r="BC141" s="550"/>
    </row>
    <row r="142" spans="1:55" s="519" customFormat="1">
      <c r="A142" s="531" t="str">
        <f t="shared" si="12"/>
        <v>CP</v>
      </c>
      <c r="B142" s="50" t="str">
        <f t="shared" si="13"/>
        <v>Div12</v>
      </c>
      <c r="C142" s="50" t="s">
        <v>262</v>
      </c>
      <c r="D142" s="532" t="s">
        <v>141</v>
      </c>
      <c r="E142" s="50" t="s">
        <v>52</v>
      </c>
      <c r="F142" s="535" t="str">
        <f>R.10PolicyImpName2</f>
        <v xml:space="preserve"> </v>
      </c>
      <c r="G142" s="543">
        <f>R.10PolicyImpHrs2</f>
        <v>0</v>
      </c>
      <c r="H142" s="544">
        <f>Table3[[#This Row],[Hrs Rank]]</f>
        <v>0</v>
      </c>
      <c r="I142" s="534">
        <f t="shared" si="14"/>
        <v>0</v>
      </c>
      <c r="J142" s="534">
        <f t="shared" si="15"/>
        <v>0</v>
      </c>
      <c r="K142" s="546"/>
      <c r="L142" s="546"/>
      <c r="M142" s="547" t="s">
        <v>228</v>
      </c>
      <c r="N142" s="547" t="s">
        <v>228</v>
      </c>
      <c r="O142" s="548"/>
      <c r="P142" s="549"/>
      <c r="Q142" s="550"/>
      <c r="R142" s="550"/>
      <c r="S142" s="549"/>
      <c r="T142" s="550"/>
      <c r="U142" s="550"/>
      <c r="V142" s="549"/>
      <c r="W142" s="550"/>
      <c r="X142" s="550"/>
      <c r="Y142" s="549"/>
      <c r="Z142" s="550"/>
      <c r="AA142" s="550"/>
      <c r="AB142" s="549"/>
      <c r="AC142" s="550"/>
      <c r="AD142" s="550"/>
      <c r="AE142" s="549"/>
      <c r="AF142" s="550"/>
      <c r="AG142" s="550"/>
      <c r="AH142" s="549"/>
      <c r="AI142" s="550"/>
      <c r="AJ142" s="550"/>
      <c r="AK142" s="549"/>
      <c r="AL142" s="550"/>
      <c r="AM142" s="550"/>
      <c r="AN142" s="549"/>
      <c r="AO142" s="550"/>
      <c r="AP142" s="550"/>
      <c r="AQ142" s="549"/>
      <c r="AR142" s="550"/>
      <c r="AS142" s="550"/>
      <c r="AT142" s="549"/>
      <c r="AU142" s="550"/>
      <c r="AV142" s="550"/>
      <c r="AW142" s="549"/>
      <c r="AX142" s="550"/>
      <c r="AY142" s="550"/>
      <c r="AZ142" s="549"/>
      <c r="BA142" s="550"/>
      <c r="BB142" s="550"/>
      <c r="BC142" s="550"/>
    </row>
    <row r="143" spans="1:55" s="519" customFormat="1">
      <c r="A143" s="531" t="str">
        <f t="shared" si="12"/>
        <v>CP</v>
      </c>
      <c r="B143" s="50" t="str">
        <f t="shared" si="13"/>
        <v>Div12</v>
      </c>
      <c r="C143" s="50" t="s">
        <v>262</v>
      </c>
      <c r="D143" s="532" t="s">
        <v>141</v>
      </c>
      <c r="E143" s="50" t="s">
        <v>52</v>
      </c>
      <c r="F143" s="535" t="str">
        <f>R.10PolicyImpName3</f>
        <v xml:space="preserve"> </v>
      </c>
      <c r="G143" s="543">
        <f>R.10PolicyImpHrs3</f>
        <v>0</v>
      </c>
      <c r="H143" s="544">
        <f>Table3[[#This Row],[Hrs Rank]]</f>
        <v>0</v>
      </c>
      <c r="I143" s="534">
        <f t="shared" si="14"/>
        <v>0</v>
      </c>
      <c r="J143" s="534">
        <f t="shared" si="15"/>
        <v>0</v>
      </c>
      <c r="K143" s="546"/>
      <c r="L143" s="546"/>
      <c r="M143" s="547" t="s">
        <v>228</v>
      </c>
      <c r="N143" s="547" t="s">
        <v>228</v>
      </c>
      <c r="O143" s="548"/>
      <c r="P143" s="549"/>
      <c r="Q143" s="550"/>
      <c r="R143" s="550"/>
      <c r="S143" s="549"/>
      <c r="T143" s="550"/>
      <c r="U143" s="550"/>
      <c r="V143" s="549"/>
      <c r="W143" s="550"/>
      <c r="X143" s="550"/>
      <c r="Y143" s="549"/>
      <c r="Z143" s="550"/>
      <c r="AA143" s="550"/>
      <c r="AB143" s="549"/>
      <c r="AC143" s="550"/>
      <c r="AD143" s="550"/>
      <c r="AE143" s="549"/>
      <c r="AF143" s="550"/>
      <c r="AG143" s="550"/>
      <c r="AH143" s="549"/>
      <c r="AI143" s="550"/>
      <c r="AJ143" s="550"/>
      <c r="AK143" s="549"/>
      <c r="AL143" s="550"/>
      <c r="AM143" s="550"/>
      <c r="AN143" s="549"/>
      <c r="AO143" s="550"/>
      <c r="AP143" s="550"/>
      <c r="AQ143" s="549"/>
      <c r="AR143" s="550"/>
      <c r="AS143" s="550"/>
      <c r="AT143" s="549"/>
      <c r="AU143" s="550"/>
      <c r="AV143" s="550"/>
      <c r="AW143" s="549"/>
      <c r="AX143" s="550"/>
      <c r="AY143" s="550"/>
      <c r="AZ143" s="549"/>
      <c r="BA143" s="550"/>
      <c r="BB143" s="550"/>
      <c r="BC143" s="550"/>
    </row>
    <row r="144" spans="1:55" s="519" customFormat="1">
      <c r="A144" s="531" t="str">
        <f t="shared" si="12"/>
        <v>CP</v>
      </c>
      <c r="B144" s="50" t="str">
        <f t="shared" si="13"/>
        <v>Div12</v>
      </c>
      <c r="C144" s="50" t="s">
        <v>262</v>
      </c>
      <c r="D144" s="532" t="s">
        <v>141</v>
      </c>
      <c r="E144" s="50" t="s">
        <v>52</v>
      </c>
      <c r="F144" s="535" t="str">
        <f>R.10PolicyImpName4</f>
        <v xml:space="preserve"> </v>
      </c>
      <c r="G144" s="543">
        <f>R.10PolicyImpHrs4</f>
        <v>0</v>
      </c>
      <c r="H144" s="544">
        <f>Table3[[#This Row],[Hrs Rank]]</f>
        <v>0</v>
      </c>
      <c r="I144" s="534">
        <f t="shared" si="14"/>
        <v>0</v>
      </c>
      <c r="J144" s="534">
        <f t="shared" si="15"/>
        <v>0</v>
      </c>
      <c r="K144" s="546"/>
      <c r="L144" s="546"/>
      <c r="M144" s="547" t="s">
        <v>228</v>
      </c>
      <c r="N144" s="547" t="s">
        <v>228</v>
      </c>
      <c r="O144" s="548"/>
      <c r="P144" s="549"/>
      <c r="Q144" s="550"/>
      <c r="R144" s="550"/>
      <c r="S144" s="549"/>
      <c r="T144" s="550"/>
      <c r="U144" s="550"/>
      <c r="V144" s="549"/>
      <c r="W144" s="550"/>
      <c r="X144" s="550"/>
      <c r="Y144" s="549"/>
      <c r="Z144" s="550"/>
      <c r="AA144" s="550"/>
      <c r="AB144" s="549"/>
      <c r="AC144" s="550"/>
      <c r="AD144" s="550"/>
      <c r="AE144" s="549"/>
      <c r="AF144" s="550"/>
      <c r="AG144" s="550"/>
      <c r="AH144" s="549"/>
      <c r="AI144" s="550"/>
      <c r="AJ144" s="550"/>
      <c r="AK144" s="549"/>
      <c r="AL144" s="550"/>
      <c r="AM144" s="550"/>
      <c r="AN144" s="549"/>
      <c r="AO144" s="550"/>
      <c r="AP144" s="550"/>
      <c r="AQ144" s="549"/>
      <c r="AR144" s="550"/>
      <c r="AS144" s="550"/>
      <c r="AT144" s="549"/>
      <c r="AU144" s="550"/>
      <c r="AV144" s="550"/>
      <c r="AW144" s="549"/>
      <c r="AX144" s="550"/>
      <c r="AY144" s="550"/>
      <c r="AZ144" s="549"/>
      <c r="BA144" s="550"/>
      <c r="BB144" s="550"/>
      <c r="BC144" s="550"/>
    </row>
    <row r="145" spans="1:55" s="519" customFormat="1">
      <c r="A145" s="531" t="str">
        <f t="shared" si="12"/>
        <v>CP</v>
      </c>
      <c r="B145" s="50" t="str">
        <f t="shared" si="13"/>
        <v>Div12</v>
      </c>
      <c r="C145" s="50" t="s">
        <v>262</v>
      </c>
      <c r="D145" s="532" t="s">
        <v>140</v>
      </c>
      <c r="E145" s="50" t="s">
        <v>53</v>
      </c>
      <c r="F145" s="535" t="str">
        <f>R.10SafetyDevName1</f>
        <v xml:space="preserve"> </v>
      </c>
      <c r="G145" s="543">
        <f>R.10SafetyDevHrs1</f>
        <v>0</v>
      </c>
      <c r="H145" s="544">
        <f>Table3[[#This Row],[Hrs Rank]]</f>
        <v>0</v>
      </c>
      <c r="I145" s="534">
        <f t="shared" si="14"/>
        <v>0</v>
      </c>
      <c r="J145" s="534">
        <f t="shared" si="15"/>
        <v>0</v>
      </c>
      <c r="K145" s="546"/>
      <c r="L145" s="546"/>
      <c r="M145" s="547" t="s">
        <v>228</v>
      </c>
      <c r="N145" s="547" t="s">
        <v>228</v>
      </c>
      <c r="O145" s="548"/>
      <c r="P145" s="549"/>
      <c r="Q145" s="550"/>
      <c r="R145" s="550"/>
      <c r="S145" s="549"/>
      <c r="T145" s="550"/>
      <c r="U145" s="550"/>
      <c r="V145" s="549"/>
      <c r="W145" s="550"/>
      <c r="X145" s="550"/>
      <c r="Y145" s="549"/>
      <c r="Z145" s="550"/>
      <c r="AA145" s="550"/>
      <c r="AB145" s="549"/>
      <c r="AC145" s="550"/>
      <c r="AD145" s="550"/>
      <c r="AE145" s="549"/>
      <c r="AF145" s="550"/>
      <c r="AG145" s="550"/>
      <c r="AH145" s="549"/>
      <c r="AI145" s="550"/>
      <c r="AJ145" s="550"/>
      <c r="AK145" s="549"/>
      <c r="AL145" s="550"/>
      <c r="AM145" s="550"/>
      <c r="AN145" s="549"/>
      <c r="AO145" s="550"/>
      <c r="AP145" s="550"/>
      <c r="AQ145" s="549"/>
      <c r="AR145" s="550"/>
      <c r="AS145" s="550"/>
      <c r="AT145" s="549"/>
      <c r="AU145" s="550"/>
      <c r="AV145" s="550"/>
      <c r="AW145" s="549"/>
      <c r="AX145" s="550"/>
      <c r="AY145" s="550"/>
      <c r="AZ145" s="549"/>
      <c r="BA145" s="550"/>
      <c r="BB145" s="550"/>
      <c r="BC145" s="550"/>
    </row>
    <row r="146" spans="1:55" s="519" customFormat="1">
      <c r="A146" s="531" t="str">
        <f t="shared" si="12"/>
        <v>CP</v>
      </c>
      <c r="B146" s="50" t="str">
        <f t="shared" si="13"/>
        <v>Div12</v>
      </c>
      <c r="C146" s="50" t="s">
        <v>262</v>
      </c>
      <c r="D146" s="532" t="s">
        <v>140</v>
      </c>
      <c r="E146" s="50" t="s">
        <v>53</v>
      </c>
      <c r="F146" s="535" t="str">
        <f>R.10SafetyDevName2</f>
        <v xml:space="preserve"> </v>
      </c>
      <c r="G146" s="543">
        <f>R.10SafetyDevHrs2</f>
        <v>0</v>
      </c>
      <c r="H146" s="544">
        <f>Table3[[#This Row],[Hrs Rank]]</f>
        <v>0</v>
      </c>
      <c r="I146" s="534">
        <f t="shared" si="14"/>
        <v>0</v>
      </c>
      <c r="J146" s="534">
        <f t="shared" si="15"/>
        <v>0</v>
      </c>
      <c r="K146" s="546"/>
      <c r="L146" s="546"/>
      <c r="M146" s="547" t="s">
        <v>228</v>
      </c>
      <c r="N146" s="547" t="s">
        <v>228</v>
      </c>
      <c r="O146" s="548"/>
      <c r="P146" s="549"/>
      <c r="Q146" s="550"/>
      <c r="R146" s="550"/>
      <c r="S146" s="549"/>
      <c r="T146" s="550"/>
      <c r="U146" s="550"/>
      <c r="V146" s="549"/>
      <c r="W146" s="550"/>
      <c r="X146" s="550"/>
      <c r="Y146" s="549"/>
      <c r="Z146" s="550"/>
      <c r="AA146" s="550"/>
      <c r="AB146" s="549"/>
      <c r="AC146" s="550"/>
      <c r="AD146" s="550"/>
      <c r="AE146" s="549"/>
      <c r="AF146" s="550"/>
      <c r="AG146" s="550"/>
      <c r="AH146" s="549"/>
      <c r="AI146" s="550"/>
      <c r="AJ146" s="550"/>
      <c r="AK146" s="549"/>
      <c r="AL146" s="550"/>
      <c r="AM146" s="550"/>
      <c r="AN146" s="549"/>
      <c r="AO146" s="550"/>
      <c r="AP146" s="550"/>
      <c r="AQ146" s="549"/>
      <c r="AR146" s="550"/>
      <c r="AS146" s="550"/>
      <c r="AT146" s="549"/>
      <c r="AU146" s="550"/>
      <c r="AV146" s="550"/>
      <c r="AW146" s="549"/>
      <c r="AX146" s="550"/>
      <c r="AY146" s="550"/>
      <c r="AZ146" s="549"/>
      <c r="BA146" s="550"/>
      <c r="BB146" s="550"/>
      <c r="BC146" s="550"/>
    </row>
    <row r="147" spans="1:55" s="519" customFormat="1">
      <c r="A147" s="531" t="str">
        <f t="shared" si="12"/>
        <v>CP</v>
      </c>
      <c r="B147" s="50" t="str">
        <f t="shared" si="13"/>
        <v>Div12</v>
      </c>
      <c r="C147" s="50" t="s">
        <v>262</v>
      </c>
      <c r="D147" s="532" t="s">
        <v>140</v>
      </c>
      <c r="E147" s="50" t="s">
        <v>53</v>
      </c>
      <c r="F147" s="535" t="str">
        <f>R.10SafetyDevName3</f>
        <v xml:space="preserve"> </v>
      </c>
      <c r="G147" s="543">
        <f>R.10SafetyDevHrs3</f>
        <v>0</v>
      </c>
      <c r="H147" s="544">
        <f>Table3[[#This Row],[Hrs Rank]]</f>
        <v>0</v>
      </c>
      <c r="I147" s="534">
        <f t="shared" si="14"/>
        <v>0</v>
      </c>
      <c r="J147" s="534">
        <f t="shared" si="15"/>
        <v>0</v>
      </c>
      <c r="K147" s="546"/>
      <c r="L147" s="546"/>
      <c r="M147" s="547" t="s">
        <v>228</v>
      </c>
      <c r="N147" s="547" t="s">
        <v>228</v>
      </c>
      <c r="O147" s="548"/>
      <c r="P147" s="549"/>
      <c r="Q147" s="550"/>
      <c r="R147" s="550"/>
      <c r="S147" s="549"/>
      <c r="T147" s="550"/>
      <c r="U147" s="550"/>
      <c r="V147" s="549"/>
      <c r="W147" s="550"/>
      <c r="X147" s="550"/>
      <c r="Y147" s="549"/>
      <c r="Z147" s="550"/>
      <c r="AA147" s="550"/>
      <c r="AB147" s="549"/>
      <c r="AC147" s="550"/>
      <c r="AD147" s="550"/>
      <c r="AE147" s="549"/>
      <c r="AF147" s="550"/>
      <c r="AG147" s="550"/>
      <c r="AH147" s="549"/>
      <c r="AI147" s="550"/>
      <c r="AJ147" s="550"/>
      <c r="AK147" s="549"/>
      <c r="AL147" s="550"/>
      <c r="AM147" s="550"/>
      <c r="AN147" s="549"/>
      <c r="AO147" s="550"/>
      <c r="AP147" s="550"/>
      <c r="AQ147" s="549"/>
      <c r="AR147" s="550"/>
      <c r="AS147" s="550"/>
      <c r="AT147" s="549"/>
      <c r="AU147" s="550"/>
      <c r="AV147" s="550"/>
      <c r="AW147" s="549"/>
      <c r="AX147" s="550"/>
      <c r="AY147" s="550"/>
      <c r="AZ147" s="549"/>
      <c r="BA147" s="550"/>
      <c r="BB147" s="550"/>
      <c r="BC147" s="550"/>
    </row>
    <row r="148" spans="1:55" s="519" customFormat="1">
      <c r="A148" s="531" t="str">
        <f t="shared" si="12"/>
        <v>CP</v>
      </c>
      <c r="B148" s="50" t="str">
        <f t="shared" si="13"/>
        <v>Div12</v>
      </c>
      <c r="C148" s="50" t="s">
        <v>262</v>
      </c>
      <c r="D148" s="532" t="s">
        <v>140</v>
      </c>
      <c r="E148" s="50" t="s">
        <v>53</v>
      </c>
      <c r="F148" s="535" t="str">
        <f>R.10SafetyDevName4</f>
        <v xml:space="preserve"> </v>
      </c>
      <c r="G148" s="543">
        <f>R.10SafetyDevHrs4</f>
        <v>0</v>
      </c>
      <c r="H148" s="544">
        <f>Table3[[#This Row],[Hrs Rank]]</f>
        <v>0</v>
      </c>
      <c r="I148" s="534">
        <f t="shared" si="14"/>
        <v>0</v>
      </c>
      <c r="J148" s="534">
        <f t="shared" si="15"/>
        <v>0</v>
      </c>
      <c r="K148" s="546"/>
      <c r="L148" s="546"/>
      <c r="M148" s="547" t="s">
        <v>228</v>
      </c>
      <c r="N148" s="547" t="s">
        <v>228</v>
      </c>
      <c r="O148" s="548"/>
      <c r="P148" s="549"/>
      <c r="Q148" s="550"/>
      <c r="R148" s="550"/>
      <c r="S148" s="549"/>
      <c r="T148" s="550"/>
      <c r="U148" s="550"/>
      <c r="V148" s="549"/>
      <c r="W148" s="550"/>
      <c r="X148" s="550"/>
      <c r="Y148" s="549"/>
      <c r="Z148" s="550"/>
      <c r="AA148" s="550"/>
      <c r="AB148" s="549"/>
      <c r="AC148" s="550"/>
      <c r="AD148" s="550"/>
      <c r="AE148" s="549"/>
      <c r="AF148" s="550"/>
      <c r="AG148" s="550"/>
      <c r="AH148" s="549"/>
      <c r="AI148" s="550"/>
      <c r="AJ148" s="550"/>
      <c r="AK148" s="549"/>
      <c r="AL148" s="550"/>
      <c r="AM148" s="550"/>
      <c r="AN148" s="549"/>
      <c r="AO148" s="550"/>
      <c r="AP148" s="550"/>
      <c r="AQ148" s="549"/>
      <c r="AR148" s="550"/>
      <c r="AS148" s="550"/>
      <c r="AT148" s="549"/>
      <c r="AU148" s="550"/>
      <c r="AV148" s="550"/>
      <c r="AW148" s="549"/>
      <c r="AX148" s="550"/>
      <c r="AY148" s="550"/>
      <c r="AZ148" s="549"/>
      <c r="BA148" s="550"/>
      <c r="BB148" s="550"/>
      <c r="BC148" s="550"/>
    </row>
    <row r="149" spans="1:55" ht="13.5" customHeight="1">
      <c r="A149" s="531" t="str">
        <f t="shared" ref="A149:A158" si="16">R.1Division</f>
        <v>CP</v>
      </c>
      <c r="B149" s="50" t="str">
        <f t="shared" ref="B149:B158" si="17">R.1CodeName</f>
        <v>Div12</v>
      </c>
      <c r="C149" s="50" t="s">
        <v>262</v>
      </c>
      <c r="D149" s="532" t="s">
        <v>140</v>
      </c>
      <c r="E149" s="50" t="s">
        <v>52</v>
      </c>
      <c r="F149" s="535" t="str">
        <f>R.10SafetyImpName1</f>
        <v xml:space="preserve"> </v>
      </c>
      <c r="G149" s="543">
        <f>R.10SafetyImpHrs1</f>
        <v>0</v>
      </c>
      <c r="H149" s="544">
        <f>Table3[[#This Row],[Hrs Rank]]</f>
        <v>0</v>
      </c>
      <c r="I149" s="534">
        <f t="shared" si="14"/>
        <v>0</v>
      </c>
      <c r="J149" s="534">
        <f t="shared" si="15"/>
        <v>0</v>
      </c>
      <c r="K149" s="546"/>
      <c r="L149" s="546"/>
      <c r="M149" s="547" t="s">
        <v>228</v>
      </c>
      <c r="N149" s="547" t="s">
        <v>228</v>
      </c>
      <c r="O149" s="548"/>
      <c r="P149" s="549"/>
      <c r="Q149" s="550"/>
      <c r="R149" s="550"/>
      <c r="S149" s="549"/>
      <c r="T149" s="550"/>
      <c r="U149" s="550"/>
      <c r="V149" s="549"/>
      <c r="W149" s="550"/>
      <c r="X149" s="550"/>
      <c r="Y149" s="549"/>
      <c r="Z149" s="550"/>
      <c r="AA149" s="550"/>
      <c r="AB149" s="549"/>
      <c r="AC149" s="550"/>
      <c r="AD149" s="550"/>
      <c r="AE149" s="549"/>
      <c r="AF149" s="550"/>
      <c r="AG149" s="550"/>
      <c r="AH149" s="549"/>
      <c r="AI149" s="550"/>
      <c r="AJ149" s="550"/>
      <c r="AK149" s="549"/>
      <c r="AL149" s="550"/>
      <c r="AM149" s="550"/>
      <c r="AN149" s="549"/>
      <c r="AO149" s="550"/>
      <c r="AP149" s="550"/>
      <c r="AQ149" s="549"/>
      <c r="AR149" s="550"/>
      <c r="AS149" s="550"/>
      <c r="AT149" s="549"/>
      <c r="AU149" s="550"/>
      <c r="AV149" s="550"/>
      <c r="AW149" s="549"/>
      <c r="AX149" s="550"/>
      <c r="AY149" s="550"/>
      <c r="AZ149" s="549"/>
      <c r="BA149" s="550"/>
      <c r="BB149" s="550"/>
      <c r="BC149" s="550"/>
    </row>
    <row r="150" spans="1:55">
      <c r="A150" s="531" t="str">
        <f t="shared" si="16"/>
        <v>CP</v>
      </c>
      <c r="B150" s="50" t="str">
        <f t="shared" si="17"/>
        <v>Div12</v>
      </c>
      <c r="C150" s="50" t="s">
        <v>262</v>
      </c>
      <c r="D150" s="532" t="s">
        <v>140</v>
      </c>
      <c r="E150" s="50" t="s">
        <v>52</v>
      </c>
      <c r="F150" s="535" t="str">
        <f>R.10SafetyImpName2</f>
        <v xml:space="preserve"> </v>
      </c>
      <c r="G150" s="543">
        <f>R.10SafetyImpHrs2</f>
        <v>0</v>
      </c>
      <c r="H150" s="544">
        <f>Table3[[#This Row],[Hrs Rank]]</f>
        <v>0</v>
      </c>
      <c r="I150" s="534">
        <f t="shared" si="14"/>
        <v>0</v>
      </c>
      <c r="J150" s="534">
        <f t="shared" si="15"/>
        <v>0</v>
      </c>
      <c r="K150" s="546"/>
      <c r="L150" s="546"/>
      <c r="M150" s="547" t="s">
        <v>228</v>
      </c>
      <c r="N150" s="547" t="s">
        <v>228</v>
      </c>
      <c r="O150" s="548"/>
      <c r="P150" s="549"/>
      <c r="Q150" s="550"/>
      <c r="R150" s="550"/>
      <c r="S150" s="549"/>
      <c r="T150" s="550"/>
      <c r="U150" s="550"/>
      <c r="V150" s="549"/>
      <c r="W150" s="550"/>
      <c r="X150" s="550"/>
      <c r="Y150" s="549"/>
      <c r="Z150" s="550"/>
      <c r="AA150" s="550"/>
      <c r="AB150" s="549"/>
      <c r="AC150" s="550"/>
      <c r="AD150" s="550"/>
      <c r="AE150" s="549"/>
      <c r="AF150" s="550"/>
      <c r="AG150" s="550"/>
      <c r="AH150" s="549"/>
      <c r="AI150" s="550"/>
      <c r="AJ150" s="550"/>
      <c r="AK150" s="549"/>
      <c r="AL150" s="550"/>
      <c r="AM150" s="550"/>
      <c r="AN150" s="549"/>
      <c r="AO150" s="550"/>
      <c r="AP150" s="550"/>
      <c r="AQ150" s="549"/>
      <c r="AR150" s="550"/>
      <c r="AS150" s="550"/>
      <c r="AT150" s="549"/>
      <c r="AU150" s="550"/>
      <c r="AV150" s="550"/>
      <c r="AW150" s="549"/>
      <c r="AX150" s="550"/>
      <c r="AY150" s="550"/>
      <c r="AZ150" s="549"/>
      <c r="BA150" s="550"/>
      <c r="BB150" s="550"/>
      <c r="BC150" s="550"/>
    </row>
    <row r="151" spans="1:55">
      <c r="A151" s="531" t="str">
        <f t="shared" si="16"/>
        <v>CP</v>
      </c>
      <c r="B151" s="50" t="str">
        <f t="shared" si="17"/>
        <v>Div12</v>
      </c>
      <c r="C151" s="50" t="s">
        <v>262</v>
      </c>
      <c r="D151" s="532" t="s">
        <v>140</v>
      </c>
      <c r="E151" s="50" t="s">
        <v>52</v>
      </c>
      <c r="F151" s="535">
        <f>R.10SafetyImpName3</f>
        <v>0</v>
      </c>
      <c r="G151" s="543">
        <f>R.10SafetyImpHrs3</f>
        <v>0</v>
      </c>
      <c r="H151" s="544">
        <f>Table3[[#This Row],[Hrs Rank]]</f>
        <v>0</v>
      </c>
      <c r="I151" s="534">
        <f t="shared" si="14"/>
        <v>0</v>
      </c>
      <c r="J151" s="534">
        <f t="shared" si="15"/>
        <v>0</v>
      </c>
      <c r="K151" s="546"/>
      <c r="L151" s="546"/>
      <c r="M151" s="547" t="s">
        <v>228</v>
      </c>
      <c r="N151" s="547" t="s">
        <v>228</v>
      </c>
      <c r="O151" s="548"/>
      <c r="P151" s="549"/>
      <c r="Q151" s="550"/>
      <c r="R151" s="550"/>
      <c r="S151" s="549"/>
      <c r="T151" s="550"/>
      <c r="U151" s="550"/>
      <c r="V151" s="549"/>
      <c r="W151" s="550"/>
      <c r="X151" s="550"/>
      <c r="Y151" s="549"/>
      <c r="Z151" s="550"/>
      <c r="AA151" s="550"/>
      <c r="AB151" s="549"/>
      <c r="AC151" s="550"/>
      <c r="AD151" s="550"/>
      <c r="AE151" s="549"/>
      <c r="AF151" s="550"/>
      <c r="AG151" s="550"/>
      <c r="AH151" s="549"/>
      <c r="AI151" s="550"/>
      <c r="AJ151" s="550"/>
      <c r="AK151" s="549"/>
      <c r="AL151" s="550"/>
      <c r="AM151" s="550"/>
      <c r="AN151" s="549"/>
      <c r="AO151" s="550"/>
      <c r="AP151" s="550"/>
      <c r="AQ151" s="549"/>
      <c r="AR151" s="550"/>
      <c r="AS151" s="550"/>
      <c r="AT151" s="549"/>
      <c r="AU151" s="550"/>
      <c r="AV151" s="550"/>
      <c r="AW151" s="549"/>
      <c r="AX151" s="550"/>
      <c r="AY151" s="550"/>
      <c r="AZ151" s="549"/>
      <c r="BA151" s="550"/>
      <c r="BB151" s="550"/>
      <c r="BC151" s="550"/>
    </row>
    <row r="152" spans="1:55">
      <c r="A152" s="531" t="str">
        <f t="shared" si="16"/>
        <v>CP</v>
      </c>
      <c r="B152" s="50" t="str">
        <f t="shared" si="17"/>
        <v>Div12</v>
      </c>
      <c r="C152" s="50" t="s">
        <v>262</v>
      </c>
      <c r="D152" s="532" t="s">
        <v>140</v>
      </c>
      <c r="E152" s="50" t="s">
        <v>52</v>
      </c>
      <c r="F152" s="535" t="str">
        <f>R.10SafetyImpName4</f>
        <v xml:space="preserve"> </v>
      </c>
      <c r="G152" s="543">
        <f>R.10SafetyImpHrs4</f>
        <v>0</v>
      </c>
      <c r="H152" s="544">
        <f>Table3[[#This Row],[Hrs Rank]]</f>
        <v>0</v>
      </c>
      <c r="I152" s="534">
        <f t="shared" si="14"/>
        <v>0</v>
      </c>
      <c r="J152" s="534">
        <f t="shared" si="15"/>
        <v>0</v>
      </c>
      <c r="K152" s="546"/>
      <c r="L152" s="546"/>
      <c r="M152" s="547" t="s">
        <v>228</v>
      </c>
      <c r="N152" s="547" t="s">
        <v>228</v>
      </c>
      <c r="O152" s="548"/>
      <c r="P152" s="549"/>
      <c r="Q152" s="550"/>
      <c r="R152" s="550"/>
      <c r="S152" s="549"/>
      <c r="T152" s="550"/>
      <c r="U152" s="550"/>
      <c r="V152" s="549"/>
      <c r="W152" s="550"/>
      <c r="X152" s="550"/>
      <c r="Y152" s="549"/>
      <c r="Z152" s="550"/>
      <c r="AA152" s="550"/>
      <c r="AB152" s="549"/>
      <c r="AC152" s="550"/>
      <c r="AD152" s="550"/>
      <c r="AE152" s="549"/>
      <c r="AF152" s="550"/>
      <c r="AG152" s="550"/>
      <c r="AH152" s="549"/>
      <c r="AI152" s="550"/>
      <c r="AJ152" s="550"/>
      <c r="AK152" s="549"/>
      <c r="AL152" s="550"/>
      <c r="AM152" s="550"/>
      <c r="AN152" s="549"/>
      <c r="AO152" s="550"/>
      <c r="AP152" s="550"/>
      <c r="AQ152" s="549"/>
      <c r="AR152" s="550"/>
      <c r="AS152" s="550"/>
      <c r="AT152" s="549"/>
      <c r="AU152" s="550"/>
      <c r="AV152" s="550"/>
      <c r="AW152" s="549"/>
      <c r="AX152" s="550"/>
      <c r="AY152" s="550"/>
      <c r="AZ152" s="549"/>
      <c r="BA152" s="550"/>
      <c r="BB152" s="550"/>
      <c r="BC152" s="550"/>
    </row>
    <row r="153" spans="1:55">
      <c r="A153" s="531" t="str">
        <f t="shared" si="16"/>
        <v>CP</v>
      </c>
      <c r="B153" s="50" t="str">
        <f t="shared" si="17"/>
        <v>Div12</v>
      </c>
      <c r="C153" s="50" t="s">
        <v>262</v>
      </c>
      <c r="D153" s="532" t="s">
        <v>139</v>
      </c>
      <c r="E153" s="50" t="s">
        <v>53</v>
      </c>
      <c r="F153" s="535">
        <f>R.10TrainingDevName1</f>
        <v>0</v>
      </c>
      <c r="G153" s="543">
        <f>R.10TrainingDevHrs1</f>
        <v>0</v>
      </c>
      <c r="H153" s="544">
        <f>Table3[[#This Row],[Hrs Rank]]</f>
        <v>0</v>
      </c>
      <c r="I153" s="534">
        <f t="shared" si="14"/>
        <v>0</v>
      </c>
      <c r="J153" s="534">
        <f t="shared" si="15"/>
        <v>0</v>
      </c>
      <c r="K153" s="546"/>
      <c r="L153" s="546"/>
      <c r="M153" s="547" t="s">
        <v>228</v>
      </c>
      <c r="N153" s="547" t="s">
        <v>228</v>
      </c>
      <c r="O153" s="548"/>
      <c r="P153" s="549"/>
      <c r="Q153" s="550"/>
      <c r="R153" s="550"/>
      <c r="S153" s="549"/>
      <c r="T153" s="550"/>
      <c r="U153" s="550"/>
      <c r="V153" s="549"/>
      <c r="W153" s="550"/>
      <c r="X153" s="550"/>
      <c r="Y153" s="549"/>
      <c r="Z153" s="550"/>
      <c r="AA153" s="550"/>
      <c r="AB153" s="549"/>
      <c r="AC153" s="550"/>
      <c r="AD153" s="550"/>
      <c r="AE153" s="549"/>
      <c r="AF153" s="550"/>
      <c r="AG153" s="550"/>
      <c r="AH153" s="549"/>
      <c r="AI153" s="550"/>
      <c r="AJ153" s="550"/>
      <c r="AK153" s="549"/>
      <c r="AL153" s="550"/>
      <c r="AM153" s="550"/>
      <c r="AN153" s="549"/>
      <c r="AO153" s="550"/>
      <c r="AP153" s="550"/>
      <c r="AQ153" s="549"/>
      <c r="AR153" s="550"/>
      <c r="AS153" s="550"/>
      <c r="AT153" s="549"/>
      <c r="AU153" s="550"/>
      <c r="AV153" s="550"/>
      <c r="AW153" s="549"/>
      <c r="AX153" s="550"/>
      <c r="AY153" s="550"/>
      <c r="AZ153" s="549"/>
      <c r="BA153" s="550"/>
      <c r="BB153" s="550"/>
      <c r="BC153" s="550"/>
    </row>
    <row r="154" spans="1:55">
      <c r="A154" s="531" t="str">
        <f t="shared" si="16"/>
        <v>CP</v>
      </c>
      <c r="B154" s="50" t="str">
        <f t="shared" si="17"/>
        <v>Div12</v>
      </c>
      <c r="C154" s="50" t="s">
        <v>262</v>
      </c>
      <c r="D154" s="532" t="s">
        <v>139</v>
      </c>
      <c r="E154" s="50" t="s">
        <v>53</v>
      </c>
      <c r="F154" s="535">
        <f>R.10TrainingDevName2</f>
        <v>0</v>
      </c>
      <c r="G154" s="543">
        <f>R.10TrainingDevHrs2</f>
        <v>0</v>
      </c>
      <c r="H154" s="544">
        <f>Table3[[#This Row],[Hrs Rank]]</f>
        <v>0</v>
      </c>
      <c r="I154" s="534">
        <f t="shared" si="14"/>
        <v>0</v>
      </c>
      <c r="J154" s="534">
        <f t="shared" si="15"/>
        <v>0</v>
      </c>
      <c r="K154" s="546"/>
      <c r="L154" s="546"/>
      <c r="M154" s="547" t="s">
        <v>228</v>
      </c>
      <c r="N154" s="547" t="s">
        <v>228</v>
      </c>
      <c r="O154" s="548"/>
      <c r="P154" s="549"/>
      <c r="Q154" s="550"/>
      <c r="R154" s="550"/>
      <c r="S154" s="549"/>
      <c r="T154" s="550"/>
      <c r="U154" s="550"/>
      <c r="V154" s="549"/>
      <c r="W154" s="550"/>
      <c r="X154" s="550"/>
      <c r="Y154" s="549"/>
      <c r="Z154" s="550"/>
      <c r="AA154" s="550"/>
      <c r="AB154" s="549"/>
      <c r="AC154" s="550"/>
      <c r="AD154" s="550"/>
      <c r="AE154" s="549"/>
      <c r="AF154" s="550"/>
      <c r="AG154" s="550"/>
      <c r="AH154" s="549"/>
      <c r="AI154" s="550"/>
      <c r="AJ154" s="550"/>
      <c r="AK154" s="549"/>
      <c r="AL154" s="550"/>
      <c r="AM154" s="550"/>
      <c r="AN154" s="549"/>
      <c r="AO154" s="550"/>
      <c r="AP154" s="550"/>
      <c r="AQ154" s="549"/>
      <c r="AR154" s="550"/>
      <c r="AS154" s="550"/>
      <c r="AT154" s="549"/>
      <c r="AU154" s="550"/>
      <c r="AV154" s="550"/>
      <c r="AW154" s="549"/>
      <c r="AX154" s="550"/>
      <c r="AY154" s="550"/>
      <c r="AZ154" s="549"/>
      <c r="BA154" s="550"/>
      <c r="BB154" s="550"/>
      <c r="BC154" s="550"/>
    </row>
    <row r="155" spans="1:55">
      <c r="A155" s="531" t="str">
        <f t="shared" si="16"/>
        <v>CP</v>
      </c>
      <c r="B155" s="50" t="str">
        <f t="shared" si="17"/>
        <v>Div12</v>
      </c>
      <c r="C155" s="50" t="s">
        <v>262</v>
      </c>
      <c r="D155" s="532" t="s">
        <v>139</v>
      </c>
      <c r="E155" s="50" t="s">
        <v>53</v>
      </c>
      <c r="F155" s="535" t="str">
        <f>R.10TrainingDevName3</f>
        <v xml:space="preserve"> </v>
      </c>
      <c r="G155" s="543">
        <f>R.10TrainingDevHrs3</f>
        <v>0</v>
      </c>
      <c r="H155" s="544">
        <f>Table3[[#This Row],[Hrs Rank]]</f>
        <v>0</v>
      </c>
      <c r="I155" s="534">
        <f t="shared" si="14"/>
        <v>0</v>
      </c>
      <c r="J155" s="534">
        <f t="shared" si="15"/>
        <v>0</v>
      </c>
      <c r="K155" s="546"/>
      <c r="L155" s="546"/>
      <c r="M155" s="547" t="s">
        <v>228</v>
      </c>
      <c r="N155" s="547" t="s">
        <v>228</v>
      </c>
      <c r="O155" s="548"/>
      <c r="P155" s="549"/>
      <c r="Q155" s="550"/>
      <c r="R155" s="550"/>
      <c r="S155" s="549"/>
      <c r="T155" s="550"/>
      <c r="U155" s="550"/>
      <c r="V155" s="549"/>
      <c r="W155" s="550"/>
      <c r="X155" s="550"/>
      <c r="Y155" s="549"/>
      <c r="Z155" s="550"/>
      <c r="AA155" s="550"/>
      <c r="AB155" s="549"/>
      <c r="AC155" s="550"/>
      <c r="AD155" s="550"/>
      <c r="AE155" s="549"/>
      <c r="AF155" s="550"/>
      <c r="AG155" s="550"/>
      <c r="AH155" s="549"/>
      <c r="AI155" s="550"/>
      <c r="AJ155" s="550"/>
      <c r="AK155" s="549"/>
      <c r="AL155" s="550"/>
      <c r="AM155" s="550"/>
      <c r="AN155" s="549"/>
      <c r="AO155" s="550"/>
      <c r="AP155" s="550"/>
      <c r="AQ155" s="549"/>
      <c r="AR155" s="550"/>
      <c r="AS155" s="550"/>
      <c r="AT155" s="549"/>
      <c r="AU155" s="550"/>
      <c r="AV155" s="550"/>
      <c r="AW155" s="549"/>
      <c r="AX155" s="550"/>
      <c r="AY155" s="550"/>
      <c r="AZ155" s="549"/>
      <c r="BA155" s="550"/>
      <c r="BB155" s="550"/>
      <c r="BC155" s="550"/>
    </row>
    <row r="156" spans="1:55">
      <c r="A156" s="531" t="str">
        <f t="shared" si="16"/>
        <v>CP</v>
      </c>
      <c r="B156" s="50" t="str">
        <f t="shared" si="17"/>
        <v>Div12</v>
      </c>
      <c r="C156" s="50" t="s">
        <v>262</v>
      </c>
      <c r="D156" s="532" t="s">
        <v>139</v>
      </c>
      <c r="E156" s="50" t="s">
        <v>53</v>
      </c>
      <c r="F156" s="535" t="str">
        <f>R.10TrainingDevName4</f>
        <v xml:space="preserve"> </v>
      </c>
      <c r="G156" s="543">
        <f>R.10TrainingDevHrs4</f>
        <v>0</v>
      </c>
      <c r="H156" s="544">
        <f>Table3[[#This Row],[Hrs Rank]]</f>
        <v>0</v>
      </c>
      <c r="I156" s="534">
        <f t="shared" si="14"/>
        <v>0</v>
      </c>
      <c r="J156" s="534">
        <f t="shared" si="15"/>
        <v>0</v>
      </c>
      <c r="K156" s="551"/>
      <c r="L156" s="551"/>
      <c r="M156" s="547" t="s">
        <v>228</v>
      </c>
      <c r="N156" s="547" t="s">
        <v>228</v>
      </c>
      <c r="O156" s="548"/>
      <c r="P156" s="549"/>
      <c r="Q156" s="550"/>
      <c r="R156" s="550"/>
      <c r="S156" s="549"/>
      <c r="T156" s="550"/>
      <c r="U156" s="550"/>
      <c r="V156" s="549"/>
      <c r="W156" s="550"/>
      <c r="X156" s="550"/>
      <c r="Y156" s="549"/>
      <c r="Z156" s="550"/>
      <c r="AA156" s="550"/>
      <c r="AB156" s="549"/>
      <c r="AC156" s="550"/>
      <c r="AD156" s="550"/>
      <c r="AE156" s="549"/>
      <c r="AF156" s="550"/>
      <c r="AG156" s="550"/>
      <c r="AH156" s="549"/>
      <c r="AI156" s="550"/>
      <c r="AJ156" s="550"/>
      <c r="AK156" s="549"/>
      <c r="AL156" s="550"/>
      <c r="AM156" s="550"/>
      <c r="AN156" s="549"/>
      <c r="AO156" s="550"/>
      <c r="AP156" s="550"/>
      <c r="AQ156" s="549"/>
      <c r="AR156" s="550"/>
      <c r="AS156" s="550"/>
      <c r="AT156" s="549"/>
      <c r="AU156" s="550"/>
      <c r="AV156" s="550"/>
      <c r="AW156" s="549"/>
      <c r="AX156" s="550"/>
      <c r="AY156" s="550"/>
      <c r="AZ156" s="549"/>
      <c r="BA156" s="550"/>
      <c r="BB156" s="550"/>
      <c r="BC156" s="550"/>
    </row>
    <row r="157" spans="1:55">
      <c r="A157" s="531" t="str">
        <f t="shared" si="16"/>
        <v>CP</v>
      </c>
      <c r="B157" s="50" t="str">
        <f t="shared" si="17"/>
        <v>Div12</v>
      </c>
      <c r="C157" s="50" t="s">
        <v>262</v>
      </c>
      <c r="D157" s="532" t="s">
        <v>139</v>
      </c>
      <c r="E157" s="50" t="s">
        <v>52</v>
      </c>
      <c r="F157" s="535" t="str">
        <f>R.10TrainingImpName1</f>
        <v xml:space="preserve"> </v>
      </c>
      <c r="G157" s="543">
        <f>R.10TrainingImpHrs1</f>
        <v>0</v>
      </c>
      <c r="H157" s="544">
        <f>Table3[[#This Row],[Hrs Rank]]</f>
        <v>0</v>
      </c>
      <c r="I157" s="534">
        <f t="shared" si="14"/>
        <v>0</v>
      </c>
      <c r="J157" s="534">
        <f t="shared" si="15"/>
        <v>0</v>
      </c>
      <c r="K157" s="551"/>
      <c r="L157" s="551"/>
      <c r="M157" s="547" t="s">
        <v>228</v>
      </c>
      <c r="N157" s="547" t="s">
        <v>228</v>
      </c>
      <c r="O157" s="548"/>
      <c r="P157" s="549"/>
      <c r="Q157" s="550"/>
      <c r="R157" s="550"/>
      <c r="S157" s="549"/>
      <c r="T157" s="550"/>
      <c r="U157" s="550"/>
      <c r="V157" s="549"/>
      <c r="W157" s="550"/>
      <c r="X157" s="550"/>
      <c r="Y157" s="549"/>
      <c r="Z157" s="550"/>
      <c r="AA157" s="550"/>
      <c r="AB157" s="549"/>
      <c r="AC157" s="550"/>
      <c r="AD157" s="550"/>
      <c r="AE157" s="549"/>
      <c r="AF157" s="550"/>
      <c r="AG157" s="550"/>
      <c r="AH157" s="549"/>
      <c r="AI157" s="550"/>
      <c r="AJ157" s="550"/>
      <c r="AK157" s="549"/>
      <c r="AL157" s="550"/>
      <c r="AM157" s="550"/>
      <c r="AN157" s="549"/>
      <c r="AO157" s="550"/>
      <c r="AP157" s="550"/>
      <c r="AQ157" s="549"/>
      <c r="AR157" s="550"/>
      <c r="AS157" s="550"/>
      <c r="AT157" s="549"/>
      <c r="AU157" s="550"/>
      <c r="AV157" s="550"/>
      <c r="AW157" s="549"/>
      <c r="AX157" s="550"/>
      <c r="AY157" s="550"/>
      <c r="AZ157" s="549"/>
      <c r="BA157" s="550"/>
      <c r="BB157" s="550"/>
      <c r="BC157" s="550"/>
    </row>
    <row r="158" spans="1:55">
      <c r="A158" s="531" t="str">
        <f t="shared" si="16"/>
        <v>CP</v>
      </c>
      <c r="B158" s="50" t="str">
        <f t="shared" si="17"/>
        <v>Div12</v>
      </c>
      <c r="C158" s="50" t="s">
        <v>262</v>
      </c>
      <c r="D158" s="532" t="s">
        <v>139</v>
      </c>
      <c r="E158" s="50" t="s">
        <v>52</v>
      </c>
      <c r="F158" s="535" t="str">
        <f>R.10TrainingImpName2</f>
        <v xml:space="preserve"> </v>
      </c>
      <c r="G158" s="543">
        <f>R.10TrainingImpHrs2</f>
        <v>0</v>
      </c>
      <c r="H158" s="544">
        <f>Table3[[#This Row],[Hrs Rank]]</f>
        <v>0</v>
      </c>
      <c r="I158" s="534">
        <f t="shared" si="14"/>
        <v>0</v>
      </c>
      <c r="J158" s="534">
        <f t="shared" si="15"/>
        <v>0</v>
      </c>
      <c r="K158" s="551"/>
      <c r="L158" s="551"/>
      <c r="M158" s="547" t="s">
        <v>228</v>
      </c>
      <c r="N158" s="547" t="s">
        <v>228</v>
      </c>
      <c r="O158" s="548"/>
      <c r="P158" s="549"/>
      <c r="Q158" s="550"/>
      <c r="R158" s="550"/>
      <c r="S158" s="549"/>
      <c r="T158" s="550"/>
      <c r="U158" s="550"/>
      <c r="V158" s="549"/>
      <c r="W158" s="550"/>
      <c r="X158" s="550"/>
      <c r="Y158" s="549"/>
      <c r="Z158" s="550"/>
      <c r="AA158" s="550"/>
      <c r="AB158" s="549"/>
      <c r="AC158" s="550"/>
      <c r="AD158" s="550"/>
      <c r="AE158" s="549"/>
      <c r="AF158" s="550"/>
      <c r="AG158" s="550"/>
      <c r="AH158" s="549"/>
      <c r="AI158" s="550"/>
      <c r="AJ158" s="550"/>
      <c r="AK158" s="549"/>
      <c r="AL158" s="550"/>
      <c r="AM158" s="550"/>
      <c r="AN158" s="549"/>
      <c r="AO158" s="550"/>
      <c r="AP158" s="550"/>
      <c r="AQ158" s="549"/>
      <c r="AR158" s="550"/>
      <c r="AS158" s="550"/>
      <c r="AT158" s="549"/>
      <c r="AU158" s="550"/>
      <c r="AV158" s="550"/>
      <c r="AW158" s="549"/>
      <c r="AX158" s="550"/>
      <c r="AY158" s="550"/>
      <c r="AZ158" s="549"/>
      <c r="BA158" s="550"/>
      <c r="BB158" s="550"/>
      <c r="BC158" s="550"/>
    </row>
    <row r="159" spans="1:55" s="519" customFormat="1">
      <c r="A159" s="531" t="str">
        <f t="shared" ref="A159:A190" si="18">R.1Division</f>
        <v>CP</v>
      </c>
      <c r="B159" s="50" t="str">
        <f t="shared" ref="B159:B190" si="19">R.1CodeName</f>
        <v>Div12</v>
      </c>
      <c r="C159" s="50" t="s">
        <v>262</v>
      </c>
      <c r="D159" s="532" t="s">
        <v>139</v>
      </c>
      <c r="E159" s="50" t="s">
        <v>52</v>
      </c>
      <c r="F159" s="535" t="str">
        <f>R.10TrainingImpName3</f>
        <v xml:space="preserve"> </v>
      </c>
      <c r="G159" s="543">
        <f>R.10TrainingImpHrs3</f>
        <v>0</v>
      </c>
      <c r="H159" s="544">
        <f>Table3[[#This Row],[Hrs Rank]]</f>
        <v>0</v>
      </c>
      <c r="I159" s="534">
        <f t="shared" si="14"/>
        <v>0</v>
      </c>
      <c r="J159" s="534">
        <f t="shared" si="15"/>
        <v>0</v>
      </c>
      <c r="K159" s="551"/>
      <c r="L159" s="551"/>
      <c r="M159" s="547" t="s">
        <v>228</v>
      </c>
      <c r="N159" s="547" t="s">
        <v>228</v>
      </c>
      <c r="O159" s="548"/>
      <c r="P159" s="549"/>
      <c r="Q159" s="550"/>
      <c r="R159" s="550"/>
      <c r="S159" s="549"/>
      <c r="T159" s="550"/>
      <c r="U159" s="550"/>
      <c r="V159" s="549"/>
      <c r="W159" s="550"/>
      <c r="X159" s="550"/>
      <c r="Y159" s="549"/>
      <c r="Z159" s="550"/>
      <c r="AA159" s="550"/>
      <c r="AB159" s="549"/>
      <c r="AC159" s="550"/>
      <c r="AD159" s="550"/>
      <c r="AE159" s="549"/>
      <c r="AF159" s="550"/>
      <c r="AG159" s="550"/>
      <c r="AH159" s="549"/>
      <c r="AI159" s="550"/>
      <c r="AJ159" s="550"/>
      <c r="AK159" s="549"/>
      <c r="AL159" s="550"/>
      <c r="AM159" s="550"/>
      <c r="AN159" s="549"/>
      <c r="AO159" s="550"/>
      <c r="AP159" s="550"/>
      <c r="AQ159" s="549"/>
      <c r="AR159" s="550"/>
      <c r="AS159" s="550"/>
      <c r="AT159" s="549"/>
      <c r="AU159" s="550"/>
      <c r="AV159" s="550"/>
      <c r="AW159" s="549"/>
      <c r="AX159" s="550"/>
      <c r="AY159" s="550"/>
      <c r="AZ159" s="549"/>
      <c r="BA159" s="550"/>
      <c r="BB159" s="550"/>
      <c r="BC159" s="550"/>
    </row>
    <row r="160" spans="1:55" s="519" customFormat="1">
      <c r="A160" s="531" t="str">
        <f t="shared" si="18"/>
        <v>CP</v>
      </c>
      <c r="B160" s="50" t="str">
        <f t="shared" si="19"/>
        <v>Div12</v>
      </c>
      <c r="C160" s="50" t="s">
        <v>262</v>
      </c>
      <c r="D160" s="532" t="s">
        <v>139</v>
      </c>
      <c r="E160" s="50" t="s">
        <v>52</v>
      </c>
      <c r="F160" s="535" t="str">
        <f>R.10TrainingImpName4</f>
        <v xml:space="preserve"> </v>
      </c>
      <c r="G160" s="543">
        <f>R.10TrainingImpHrs4</f>
        <v>0</v>
      </c>
      <c r="H160" s="544">
        <f>Table3[[#This Row],[Hrs Rank]]</f>
        <v>0</v>
      </c>
      <c r="I160" s="534">
        <f t="shared" si="14"/>
        <v>0</v>
      </c>
      <c r="J160" s="534">
        <f t="shared" si="15"/>
        <v>0</v>
      </c>
      <c r="K160" s="551"/>
      <c r="L160" s="551"/>
      <c r="M160" s="547" t="s">
        <v>228</v>
      </c>
      <c r="N160" s="547" t="s">
        <v>228</v>
      </c>
      <c r="O160" s="548"/>
      <c r="P160" s="549"/>
      <c r="Q160" s="550"/>
      <c r="R160" s="550"/>
      <c r="S160" s="549"/>
      <c r="T160" s="550"/>
      <c r="U160" s="550"/>
      <c r="V160" s="549"/>
      <c r="W160" s="550"/>
      <c r="X160" s="550"/>
      <c r="Y160" s="549"/>
      <c r="Z160" s="550"/>
      <c r="AA160" s="550"/>
      <c r="AB160" s="549"/>
      <c r="AC160" s="550"/>
      <c r="AD160" s="550"/>
      <c r="AE160" s="549"/>
      <c r="AF160" s="550"/>
      <c r="AG160" s="550"/>
      <c r="AH160" s="549"/>
      <c r="AI160" s="550"/>
      <c r="AJ160" s="550"/>
      <c r="AK160" s="549"/>
      <c r="AL160" s="550"/>
      <c r="AM160" s="550"/>
      <c r="AN160" s="549"/>
      <c r="AO160" s="550"/>
      <c r="AP160" s="550"/>
      <c r="AQ160" s="549"/>
      <c r="AR160" s="550"/>
      <c r="AS160" s="550"/>
      <c r="AT160" s="549"/>
      <c r="AU160" s="550"/>
      <c r="AV160" s="550"/>
      <c r="AW160" s="549"/>
      <c r="AX160" s="550"/>
      <c r="AY160" s="550"/>
      <c r="AZ160" s="549"/>
      <c r="BA160" s="550"/>
      <c r="BB160" s="550"/>
      <c r="BC160" s="550"/>
    </row>
    <row r="161" spans="1:55" s="519" customFormat="1">
      <c r="A161" s="531" t="str">
        <f t="shared" si="18"/>
        <v>CP</v>
      </c>
      <c r="B161" s="50" t="str">
        <f t="shared" si="19"/>
        <v>Div12</v>
      </c>
      <c r="C161" s="50" t="s">
        <v>263</v>
      </c>
      <c r="D161" s="532" t="s">
        <v>273</v>
      </c>
      <c r="E161" s="50" t="s">
        <v>53</v>
      </c>
      <c r="F161" s="535" t="str">
        <f>R.11DivTechDevName1</f>
        <v xml:space="preserve"> </v>
      </c>
      <c r="G161" s="543">
        <f>R.11DivTechDevHrs1</f>
        <v>0</v>
      </c>
      <c r="H161" s="544">
        <f>Table3[[#This Row],[Hrs Rank]]</f>
        <v>0</v>
      </c>
      <c r="I161" s="534">
        <f t="shared" si="14"/>
        <v>0</v>
      </c>
      <c r="J161" s="534">
        <f t="shared" si="15"/>
        <v>0</v>
      </c>
      <c r="K161" s="551"/>
      <c r="L161" s="551"/>
      <c r="M161" s="547" t="s">
        <v>228</v>
      </c>
      <c r="N161" s="547" t="s">
        <v>228</v>
      </c>
      <c r="O161" s="548"/>
      <c r="P161" s="549"/>
      <c r="Q161" s="550"/>
      <c r="R161" s="550"/>
      <c r="S161" s="549"/>
      <c r="T161" s="550"/>
      <c r="U161" s="550"/>
      <c r="V161" s="549"/>
      <c r="W161" s="550"/>
      <c r="X161" s="550"/>
      <c r="Y161" s="549"/>
      <c r="Z161" s="550"/>
      <c r="AA161" s="550"/>
      <c r="AB161" s="549"/>
      <c r="AC161" s="550"/>
      <c r="AD161" s="550"/>
      <c r="AE161" s="549"/>
      <c r="AF161" s="550"/>
      <c r="AG161" s="550"/>
      <c r="AH161" s="549"/>
      <c r="AI161" s="550"/>
      <c r="AJ161" s="550"/>
      <c r="AK161" s="549"/>
      <c r="AL161" s="550"/>
      <c r="AM161" s="550"/>
      <c r="AN161" s="549"/>
      <c r="AO161" s="550"/>
      <c r="AP161" s="550"/>
      <c r="AQ161" s="549"/>
      <c r="AR161" s="550"/>
      <c r="AS161" s="550"/>
      <c r="AT161" s="549"/>
      <c r="AU161" s="550"/>
      <c r="AV161" s="550"/>
      <c r="AW161" s="549"/>
      <c r="AX161" s="550"/>
      <c r="AY161" s="550"/>
      <c r="AZ161" s="549"/>
      <c r="BA161" s="550"/>
      <c r="BB161" s="550"/>
      <c r="BC161" s="550"/>
    </row>
    <row r="162" spans="1:55" s="519" customFormat="1">
      <c r="A162" s="531" t="str">
        <f t="shared" si="18"/>
        <v>CP</v>
      </c>
      <c r="B162" s="50" t="str">
        <f t="shared" si="19"/>
        <v>Div12</v>
      </c>
      <c r="C162" s="50" t="s">
        <v>263</v>
      </c>
      <c r="D162" s="532" t="s">
        <v>273</v>
      </c>
      <c r="E162" s="50" t="s">
        <v>53</v>
      </c>
      <c r="F162" s="535" t="str">
        <f>R.11DivTechDevName2</f>
        <v xml:space="preserve"> </v>
      </c>
      <c r="G162" s="543">
        <f>R.11DivTechDevHrs2</f>
        <v>0</v>
      </c>
      <c r="H162" s="544">
        <f>Table3[[#This Row],[Hrs Rank]]</f>
        <v>0</v>
      </c>
      <c r="I162" s="534">
        <f t="shared" si="14"/>
        <v>0</v>
      </c>
      <c r="J162" s="534">
        <f t="shared" si="15"/>
        <v>0</v>
      </c>
      <c r="K162" s="551"/>
      <c r="L162" s="551"/>
      <c r="M162" s="547" t="s">
        <v>228</v>
      </c>
      <c r="N162" s="547" t="s">
        <v>228</v>
      </c>
      <c r="O162" s="548"/>
      <c r="P162" s="549"/>
      <c r="Q162" s="550"/>
      <c r="R162" s="550"/>
      <c r="S162" s="549"/>
      <c r="T162" s="550"/>
      <c r="U162" s="550"/>
      <c r="V162" s="549"/>
      <c r="W162" s="550"/>
      <c r="X162" s="550"/>
      <c r="Y162" s="549"/>
      <c r="Z162" s="550"/>
      <c r="AA162" s="550"/>
      <c r="AB162" s="549"/>
      <c r="AC162" s="550"/>
      <c r="AD162" s="550"/>
      <c r="AE162" s="549"/>
      <c r="AF162" s="550"/>
      <c r="AG162" s="550"/>
      <c r="AH162" s="549"/>
      <c r="AI162" s="550"/>
      <c r="AJ162" s="550"/>
      <c r="AK162" s="549"/>
      <c r="AL162" s="550"/>
      <c r="AM162" s="550"/>
      <c r="AN162" s="549"/>
      <c r="AO162" s="550"/>
      <c r="AP162" s="550"/>
      <c r="AQ162" s="549"/>
      <c r="AR162" s="550"/>
      <c r="AS162" s="550"/>
      <c r="AT162" s="549"/>
      <c r="AU162" s="550"/>
      <c r="AV162" s="550"/>
      <c r="AW162" s="549"/>
      <c r="AX162" s="550"/>
      <c r="AY162" s="550"/>
      <c r="AZ162" s="549"/>
      <c r="BA162" s="550"/>
      <c r="BB162" s="550"/>
      <c r="BC162" s="550"/>
    </row>
    <row r="163" spans="1:55" s="519" customFormat="1">
      <c r="A163" s="531" t="str">
        <f t="shared" si="18"/>
        <v>CP</v>
      </c>
      <c r="B163" s="50" t="str">
        <f t="shared" si="19"/>
        <v>Div12</v>
      </c>
      <c r="C163" s="50" t="s">
        <v>263</v>
      </c>
      <c r="D163" s="532" t="s">
        <v>273</v>
      </c>
      <c r="E163" s="50" t="s">
        <v>53</v>
      </c>
      <c r="F163" s="535" t="str">
        <f>R.11DivTechDevName3</f>
        <v xml:space="preserve"> </v>
      </c>
      <c r="G163" s="543">
        <f>R.11DivTechDevHrs3</f>
        <v>0</v>
      </c>
      <c r="H163" s="544">
        <f>Table3[[#This Row],[Hrs Rank]]</f>
        <v>0</v>
      </c>
      <c r="I163" s="534">
        <f t="shared" si="14"/>
        <v>0</v>
      </c>
      <c r="J163" s="534">
        <f t="shared" si="15"/>
        <v>0</v>
      </c>
      <c r="K163" s="551"/>
      <c r="L163" s="551"/>
      <c r="M163" s="547" t="s">
        <v>228</v>
      </c>
      <c r="N163" s="547" t="s">
        <v>228</v>
      </c>
      <c r="O163" s="548"/>
      <c r="P163" s="549"/>
      <c r="Q163" s="550"/>
      <c r="R163" s="550"/>
      <c r="S163" s="549"/>
      <c r="T163" s="550"/>
      <c r="U163" s="550"/>
      <c r="V163" s="549"/>
      <c r="W163" s="550"/>
      <c r="X163" s="550"/>
      <c r="Y163" s="549"/>
      <c r="Z163" s="550"/>
      <c r="AA163" s="550"/>
      <c r="AB163" s="549"/>
      <c r="AC163" s="550"/>
      <c r="AD163" s="550"/>
      <c r="AE163" s="549"/>
      <c r="AF163" s="550"/>
      <c r="AG163" s="550"/>
      <c r="AH163" s="549"/>
      <c r="AI163" s="550"/>
      <c r="AJ163" s="550"/>
      <c r="AK163" s="549"/>
      <c r="AL163" s="550"/>
      <c r="AM163" s="550"/>
      <c r="AN163" s="549"/>
      <c r="AO163" s="550"/>
      <c r="AP163" s="550"/>
      <c r="AQ163" s="549"/>
      <c r="AR163" s="550"/>
      <c r="AS163" s="550"/>
      <c r="AT163" s="549"/>
      <c r="AU163" s="550"/>
      <c r="AV163" s="550"/>
      <c r="AW163" s="549"/>
      <c r="AX163" s="550"/>
      <c r="AY163" s="550"/>
      <c r="AZ163" s="549"/>
      <c r="BA163" s="550"/>
      <c r="BB163" s="550"/>
      <c r="BC163" s="550"/>
    </row>
    <row r="164" spans="1:55" s="519" customFormat="1">
      <c r="A164" s="531" t="str">
        <f t="shared" si="18"/>
        <v>CP</v>
      </c>
      <c r="B164" s="50" t="str">
        <f t="shared" si="19"/>
        <v>Div12</v>
      </c>
      <c r="C164" s="50" t="s">
        <v>263</v>
      </c>
      <c r="D164" s="532" t="s">
        <v>273</v>
      </c>
      <c r="E164" s="50" t="s">
        <v>53</v>
      </c>
      <c r="F164" s="535">
        <f>R.11DivTechDevName4</f>
        <v>0</v>
      </c>
      <c r="G164" s="543">
        <f>R.11DivTechDevHrs4</f>
        <v>0</v>
      </c>
      <c r="H164" s="544">
        <f>Table3[[#This Row],[Hrs Rank]]</f>
        <v>0</v>
      </c>
      <c r="I164" s="534">
        <f t="shared" si="14"/>
        <v>0</v>
      </c>
      <c r="J164" s="534">
        <f t="shared" si="15"/>
        <v>0</v>
      </c>
      <c r="K164" s="551"/>
      <c r="L164" s="551"/>
      <c r="M164" s="547" t="s">
        <v>228</v>
      </c>
      <c r="N164" s="547" t="s">
        <v>228</v>
      </c>
      <c r="O164" s="548"/>
      <c r="P164" s="549"/>
      <c r="Q164" s="550"/>
      <c r="R164" s="550"/>
      <c r="S164" s="549"/>
      <c r="T164" s="550"/>
      <c r="U164" s="550"/>
      <c r="V164" s="549"/>
      <c r="W164" s="550"/>
      <c r="X164" s="550"/>
      <c r="Y164" s="549"/>
      <c r="Z164" s="550"/>
      <c r="AA164" s="550"/>
      <c r="AB164" s="549"/>
      <c r="AC164" s="550"/>
      <c r="AD164" s="550"/>
      <c r="AE164" s="549"/>
      <c r="AF164" s="550"/>
      <c r="AG164" s="550"/>
      <c r="AH164" s="549"/>
      <c r="AI164" s="550"/>
      <c r="AJ164" s="550"/>
      <c r="AK164" s="549"/>
      <c r="AL164" s="550"/>
      <c r="AM164" s="550"/>
      <c r="AN164" s="549"/>
      <c r="AO164" s="550"/>
      <c r="AP164" s="550"/>
      <c r="AQ164" s="549"/>
      <c r="AR164" s="550"/>
      <c r="AS164" s="550"/>
      <c r="AT164" s="549"/>
      <c r="AU164" s="550"/>
      <c r="AV164" s="550"/>
      <c r="AW164" s="549"/>
      <c r="AX164" s="550"/>
      <c r="AY164" s="550"/>
      <c r="AZ164" s="549"/>
      <c r="BA164" s="550"/>
      <c r="BB164" s="550"/>
      <c r="BC164" s="550"/>
    </row>
    <row r="165" spans="1:55" s="519" customFormat="1">
      <c r="A165" s="531" t="str">
        <f t="shared" si="18"/>
        <v>CP</v>
      </c>
      <c r="B165" s="50" t="str">
        <f t="shared" si="19"/>
        <v>Div12</v>
      </c>
      <c r="C165" s="50" t="s">
        <v>263</v>
      </c>
      <c r="D165" s="532" t="s">
        <v>273</v>
      </c>
      <c r="E165" s="50" t="s">
        <v>52</v>
      </c>
      <c r="F165" s="535" t="str">
        <f>R.11DivTechImpName1</f>
        <v xml:space="preserve"> </v>
      </c>
      <c r="G165" s="543">
        <f>R.11DivTechImpHrs1</f>
        <v>0</v>
      </c>
      <c r="H165" s="544">
        <f>Table3[[#This Row],[Hrs Rank]]</f>
        <v>0</v>
      </c>
      <c r="I165" s="534">
        <f t="shared" si="14"/>
        <v>0</v>
      </c>
      <c r="J165" s="534">
        <f t="shared" si="15"/>
        <v>0</v>
      </c>
      <c r="K165" s="551"/>
      <c r="L165" s="551"/>
      <c r="M165" s="547" t="s">
        <v>228</v>
      </c>
      <c r="N165" s="547" t="s">
        <v>228</v>
      </c>
      <c r="O165" s="548"/>
      <c r="P165" s="549"/>
      <c r="Q165" s="550"/>
      <c r="R165" s="550"/>
      <c r="S165" s="549"/>
      <c r="T165" s="550"/>
      <c r="U165" s="550"/>
      <c r="V165" s="549"/>
      <c r="W165" s="550"/>
      <c r="X165" s="550"/>
      <c r="Y165" s="549"/>
      <c r="Z165" s="550"/>
      <c r="AA165" s="550"/>
      <c r="AB165" s="549"/>
      <c r="AC165" s="550"/>
      <c r="AD165" s="550"/>
      <c r="AE165" s="549"/>
      <c r="AF165" s="550"/>
      <c r="AG165" s="550"/>
      <c r="AH165" s="549"/>
      <c r="AI165" s="550"/>
      <c r="AJ165" s="550"/>
      <c r="AK165" s="549"/>
      <c r="AL165" s="550"/>
      <c r="AM165" s="550"/>
      <c r="AN165" s="549"/>
      <c r="AO165" s="550"/>
      <c r="AP165" s="550"/>
      <c r="AQ165" s="549"/>
      <c r="AR165" s="550"/>
      <c r="AS165" s="550"/>
      <c r="AT165" s="549"/>
      <c r="AU165" s="550"/>
      <c r="AV165" s="550"/>
      <c r="AW165" s="549"/>
      <c r="AX165" s="550"/>
      <c r="AY165" s="550"/>
      <c r="AZ165" s="549"/>
      <c r="BA165" s="550"/>
      <c r="BB165" s="550"/>
      <c r="BC165" s="550"/>
    </row>
    <row r="166" spans="1:55" s="519" customFormat="1">
      <c r="A166" s="531" t="str">
        <f t="shared" si="18"/>
        <v>CP</v>
      </c>
      <c r="B166" s="50" t="str">
        <f t="shared" si="19"/>
        <v>Div12</v>
      </c>
      <c r="C166" s="50" t="s">
        <v>263</v>
      </c>
      <c r="D166" s="532" t="s">
        <v>273</v>
      </c>
      <c r="E166" s="50" t="s">
        <v>52</v>
      </c>
      <c r="F166" s="535">
        <f>R.11DivTechImpName2</f>
        <v>0</v>
      </c>
      <c r="G166" s="543">
        <f>R.11DivTechImpHrs2</f>
        <v>0</v>
      </c>
      <c r="H166" s="544">
        <f>Table3[[#This Row],[Hrs Rank]]</f>
        <v>0</v>
      </c>
      <c r="I166" s="534">
        <f t="shared" si="14"/>
        <v>0</v>
      </c>
      <c r="J166" s="534">
        <f t="shared" si="15"/>
        <v>0</v>
      </c>
      <c r="K166" s="551"/>
      <c r="L166" s="551"/>
      <c r="M166" s="547" t="s">
        <v>228</v>
      </c>
      <c r="N166" s="547" t="s">
        <v>228</v>
      </c>
      <c r="O166" s="548"/>
      <c r="P166" s="549"/>
      <c r="Q166" s="550"/>
      <c r="R166" s="550"/>
      <c r="S166" s="549"/>
      <c r="T166" s="550"/>
      <c r="U166" s="550"/>
      <c r="V166" s="549"/>
      <c r="W166" s="550"/>
      <c r="X166" s="550"/>
      <c r="Y166" s="549"/>
      <c r="Z166" s="550"/>
      <c r="AA166" s="550"/>
      <c r="AB166" s="549"/>
      <c r="AC166" s="550"/>
      <c r="AD166" s="550"/>
      <c r="AE166" s="549"/>
      <c r="AF166" s="550"/>
      <c r="AG166" s="550"/>
      <c r="AH166" s="549"/>
      <c r="AI166" s="550"/>
      <c r="AJ166" s="550"/>
      <c r="AK166" s="549"/>
      <c r="AL166" s="550"/>
      <c r="AM166" s="550"/>
      <c r="AN166" s="549"/>
      <c r="AO166" s="550"/>
      <c r="AP166" s="550"/>
      <c r="AQ166" s="549"/>
      <c r="AR166" s="550"/>
      <c r="AS166" s="550"/>
      <c r="AT166" s="549"/>
      <c r="AU166" s="550"/>
      <c r="AV166" s="550"/>
      <c r="AW166" s="549"/>
      <c r="AX166" s="550"/>
      <c r="AY166" s="550"/>
      <c r="AZ166" s="549"/>
      <c r="BA166" s="550"/>
      <c r="BB166" s="550"/>
      <c r="BC166" s="550"/>
    </row>
    <row r="167" spans="1:55" s="519" customFormat="1">
      <c r="A167" s="531" t="str">
        <f t="shared" si="18"/>
        <v>CP</v>
      </c>
      <c r="B167" s="50" t="str">
        <f t="shared" si="19"/>
        <v>Div12</v>
      </c>
      <c r="C167" s="50" t="s">
        <v>263</v>
      </c>
      <c r="D167" s="532" t="s">
        <v>273</v>
      </c>
      <c r="E167" s="50" t="s">
        <v>52</v>
      </c>
      <c r="F167" s="535" t="str">
        <f>R.11DivTechImpName3</f>
        <v xml:space="preserve"> </v>
      </c>
      <c r="G167" s="543">
        <f>R.11DivTechImpHrs3</f>
        <v>0</v>
      </c>
      <c r="H167" s="544">
        <f>Table3[[#This Row],[Hrs Rank]]</f>
        <v>0</v>
      </c>
      <c r="I167" s="534">
        <f t="shared" si="14"/>
        <v>0</v>
      </c>
      <c r="J167" s="534">
        <f t="shared" si="15"/>
        <v>0</v>
      </c>
      <c r="K167" s="551"/>
      <c r="L167" s="551"/>
      <c r="M167" s="547" t="s">
        <v>228</v>
      </c>
      <c r="N167" s="547" t="s">
        <v>228</v>
      </c>
      <c r="O167" s="548"/>
      <c r="P167" s="549"/>
      <c r="Q167" s="550"/>
      <c r="R167" s="550"/>
      <c r="S167" s="549"/>
      <c r="T167" s="550"/>
      <c r="U167" s="550"/>
      <c r="V167" s="549"/>
      <c r="W167" s="550"/>
      <c r="X167" s="550"/>
      <c r="Y167" s="549"/>
      <c r="Z167" s="550"/>
      <c r="AA167" s="550"/>
      <c r="AB167" s="549"/>
      <c r="AC167" s="550"/>
      <c r="AD167" s="550"/>
      <c r="AE167" s="549"/>
      <c r="AF167" s="550"/>
      <c r="AG167" s="550"/>
      <c r="AH167" s="549"/>
      <c r="AI167" s="550"/>
      <c r="AJ167" s="550"/>
      <c r="AK167" s="549"/>
      <c r="AL167" s="550"/>
      <c r="AM167" s="550"/>
      <c r="AN167" s="549"/>
      <c r="AO167" s="550"/>
      <c r="AP167" s="550"/>
      <c r="AQ167" s="549"/>
      <c r="AR167" s="550"/>
      <c r="AS167" s="550"/>
      <c r="AT167" s="549"/>
      <c r="AU167" s="550"/>
      <c r="AV167" s="550"/>
      <c r="AW167" s="549"/>
      <c r="AX167" s="550"/>
      <c r="AY167" s="550"/>
      <c r="AZ167" s="549"/>
      <c r="BA167" s="550"/>
      <c r="BB167" s="550"/>
      <c r="BC167" s="550"/>
    </row>
    <row r="168" spans="1:55" s="519" customFormat="1">
      <c r="A168" s="531" t="str">
        <f t="shared" si="18"/>
        <v>CP</v>
      </c>
      <c r="B168" s="50" t="str">
        <f t="shared" si="19"/>
        <v>Div12</v>
      </c>
      <c r="C168" s="50" t="s">
        <v>263</v>
      </c>
      <c r="D168" s="532" t="s">
        <v>273</v>
      </c>
      <c r="E168" s="50" t="s">
        <v>52</v>
      </c>
      <c r="F168" s="535" t="str">
        <f>R.11DivTechImpName4</f>
        <v xml:space="preserve"> </v>
      </c>
      <c r="G168" s="543">
        <f>R.11DivTechImpHrs4</f>
        <v>0</v>
      </c>
      <c r="H168" s="544">
        <f>Table3[[#This Row],[Hrs Rank]]</f>
        <v>0</v>
      </c>
      <c r="I168" s="534">
        <f t="shared" si="14"/>
        <v>0</v>
      </c>
      <c r="J168" s="534">
        <f t="shared" si="15"/>
        <v>0</v>
      </c>
      <c r="K168" s="551"/>
      <c r="L168" s="551"/>
      <c r="M168" s="547" t="s">
        <v>228</v>
      </c>
      <c r="N168" s="547" t="s">
        <v>228</v>
      </c>
      <c r="O168" s="548"/>
      <c r="P168" s="549"/>
      <c r="Q168" s="550"/>
      <c r="R168" s="550"/>
      <c r="S168" s="549"/>
      <c r="T168" s="550"/>
      <c r="U168" s="550"/>
      <c r="V168" s="549"/>
      <c r="W168" s="550"/>
      <c r="X168" s="550"/>
      <c r="Y168" s="549"/>
      <c r="Z168" s="550"/>
      <c r="AA168" s="550"/>
      <c r="AB168" s="549"/>
      <c r="AC168" s="550"/>
      <c r="AD168" s="550"/>
      <c r="AE168" s="549"/>
      <c r="AF168" s="550"/>
      <c r="AG168" s="550"/>
      <c r="AH168" s="549"/>
      <c r="AI168" s="550"/>
      <c r="AJ168" s="550"/>
      <c r="AK168" s="549"/>
      <c r="AL168" s="550"/>
      <c r="AM168" s="550"/>
      <c r="AN168" s="549"/>
      <c r="AO168" s="550"/>
      <c r="AP168" s="550"/>
      <c r="AQ168" s="549"/>
      <c r="AR168" s="550"/>
      <c r="AS168" s="550"/>
      <c r="AT168" s="549"/>
      <c r="AU168" s="550"/>
      <c r="AV168" s="550"/>
      <c r="AW168" s="549"/>
      <c r="AX168" s="550"/>
      <c r="AY168" s="550"/>
      <c r="AZ168" s="549"/>
      <c r="BA168" s="550"/>
      <c r="BB168" s="550"/>
      <c r="BC168" s="550"/>
    </row>
    <row r="169" spans="1:55" s="519" customFormat="1">
      <c r="A169" s="531" t="str">
        <f t="shared" si="18"/>
        <v>CP</v>
      </c>
      <c r="B169" s="50" t="str">
        <f t="shared" si="19"/>
        <v>Div12</v>
      </c>
      <c r="C169" s="50" t="s">
        <v>263</v>
      </c>
      <c r="D169" s="532" t="s">
        <v>137</v>
      </c>
      <c r="E169" s="50" t="s">
        <v>53</v>
      </c>
      <c r="F169" s="535" t="str">
        <f>R.11ITDevName1</f>
        <v xml:space="preserve"> </v>
      </c>
      <c r="G169" s="543">
        <f>R.11ITDevHrs1</f>
        <v>0</v>
      </c>
      <c r="H169" s="544">
        <f>Table3[[#This Row],[Hrs Rank]]</f>
        <v>0</v>
      </c>
      <c r="I169" s="534">
        <f t="shared" si="14"/>
        <v>0</v>
      </c>
      <c r="J169" s="534">
        <f t="shared" si="15"/>
        <v>0</v>
      </c>
      <c r="K169" s="551"/>
      <c r="L169" s="551"/>
      <c r="M169" s="547" t="s">
        <v>228</v>
      </c>
      <c r="N169" s="547" t="s">
        <v>228</v>
      </c>
      <c r="O169" s="548"/>
      <c r="P169" s="549"/>
      <c r="Q169" s="550"/>
      <c r="R169" s="550"/>
      <c r="S169" s="549"/>
      <c r="T169" s="550"/>
      <c r="U169" s="550"/>
      <c r="V169" s="549"/>
      <c r="W169" s="550"/>
      <c r="X169" s="550"/>
      <c r="Y169" s="549"/>
      <c r="Z169" s="550"/>
      <c r="AA169" s="550"/>
      <c r="AB169" s="549"/>
      <c r="AC169" s="550"/>
      <c r="AD169" s="550"/>
      <c r="AE169" s="549"/>
      <c r="AF169" s="550"/>
      <c r="AG169" s="550"/>
      <c r="AH169" s="549"/>
      <c r="AI169" s="550"/>
      <c r="AJ169" s="550"/>
      <c r="AK169" s="549"/>
      <c r="AL169" s="550"/>
      <c r="AM169" s="550"/>
      <c r="AN169" s="549"/>
      <c r="AO169" s="550"/>
      <c r="AP169" s="550"/>
      <c r="AQ169" s="549"/>
      <c r="AR169" s="550"/>
      <c r="AS169" s="550"/>
      <c r="AT169" s="549"/>
      <c r="AU169" s="550"/>
      <c r="AV169" s="550"/>
      <c r="AW169" s="549"/>
      <c r="AX169" s="550"/>
      <c r="AY169" s="550"/>
      <c r="AZ169" s="549"/>
      <c r="BA169" s="550"/>
      <c r="BB169" s="550"/>
      <c r="BC169" s="550"/>
    </row>
    <row r="170" spans="1:55" s="519" customFormat="1">
      <c r="A170" s="531" t="str">
        <f t="shared" si="18"/>
        <v>CP</v>
      </c>
      <c r="B170" s="50" t="str">
        <f t="shared" si="19"/>
        <v>Div12</v>
      </c>
      <c r="C170" s="50" t="s">
        <v>263</v>
      </c>
      <c r="D170" s="532" t="s">
        <v>137</v>
      </c>
      <c r="E170" s="50" t="s">
        <v>53</v>
      </c>
      <c r="F170" s="535" t="str">
        <f>R.11ITDevName2</f>
        <v xml:space="preserve"> </v>
      </c>
      <c r="G170" s="543">
        <f>R.11ITDevHrs2</f>
        <v>0</v>
      </c>
      <c r="H170" s="544">
        <f>Table3[[#This Row],[Hrs Rank]]</f>
        <v>0</v>
      </c>
      <c r="I170" s="534">
        <f t="shared" si="14"/>
        <v>0</v>
      </c>
      <c r="J170" s="534">
        <f t="shared" si="15"/>
        <v>0</v>
      </c>
      <c r="K170" s="551"/>
      <c r="L170" s="551"/>
      <c r="M170" s="547" t="s">
        <v>228</v>
      </c>
      <c r="N170" s="547" t="s">
        <v>228</v>
      </c>
      <c r="O170" s="548"/>
      <c r="P170" s="549"/>
      <c r="Q170" s="550"/>
      <c r="R170" s="550"/>
      <c r="S170" s="549"/>
      <c r="T170" s="550"/>
      <c r="U170" s="550"/>
      <c r="V170" s="549"/>
      <c r="W170" s="550"/>
      <c r="X170" s="550"/>
      <c r="Y170" s="549"/>
      <c r="Z170" s="550"/>
      <c r="AA170" s="550"/>
      <c r="AB170" s="549"/>
      <c r="AC170" s="550"/>
      <c r="AD170" s="550"/>
      <c r="AE170" s="549"/>
      <c r="AF170" s="550"/>
      <c r="AG170" s="550"/>
      <c r="AH170" s="549"/>
      <c r="AI170" s="550"/>
      <c r="AJ170" s="550"/>
      <c r="AK170" s="549"/>
      <c r="AL170" s="550"/>
      <c r="AM170" s="550"/>
      <c r="AN170" s="549"/>
      <c r="AO170" s="550"/>
      <c r="AP170" s="550"/>
      <c r="AQ170" s="549"/>
      <c r="AR170" s="550"/>
      <c r="AS170" s="550"/>
      <c r="AT170" s="549"/>
      <c r="AU170" s="550"/>
      <c r="AV170" s="550"/>
      <c r="AW170" s="549"/>
      <c r="AX170" s="550"/>
      <c r="AY170" s="550"/>
      <c r="AZ170" s="549"/>
      <c r="BA170" s="550"/>
      <c r="BB170" s="550"/>
      <c r="BC170" s="550"/>
    </row>
    <row r="171" spans="1:55" s="519" customFormat="1">
      <c r="A171" s="531" t="str">
        <f t="shared" si="18"/>
        <v>CP</v>
      </c>
      <c r="B171" s="50" t="str">
        <f t="shared" si="19"/>
        <v>Div12</v>
      </c>
      <c r="C171" s="50" t="s">
        <v>263</v>
      </c>
      <c r="D171" s="532" t="s">
        <v>137</v>
      </c>
      <c r="E171" s="50" t="s">
        <v>53</v>
      </c>
      <c r="F171" s="535" t="str">
        <f>R.11ITDevName3</f>
        <v xml:space="preserve"> </v>
      </c>
      <c r="G171" s="543">
        <f>R.11ITDevHrs3</f>
        <v>0</v>
      </c>
      <c r="H171" s="544">
        <f>Table3[[#This Row],[Hrs Rank]]</f>
        <v>0</v>
      </c>
      <c r="I171" s="534">
        <f t="shared" si="14"/>
        <v>0</v>
      </c>
      <c r="J171" s="534">
        <f t="shared" si="15"/>
        <v>0</v>
      </c>
      <c r="K171" s="551"/>
      <c r="L171" s="551"/>
      <c r="M171" s="547" t="s">
        <v>228</v>
      </c>
      <c r="N171" s="547" t="s">
        <v>228</v>
      </c>
      <c r="O171" s="548"/>
      <c r="P171" s="549"/>
      <c r="Q171" s="550"/>
      <c r="R171" s="550"/>
      <c r="S171" s="549"/>
      <c r="T171" s="550"/>
      <c r="U171" s="550"/>
      <c r="V171" s="549"/>
      <c r="W171" s="550"/>
      <c r="X171" s="550"/>
      <c r="Y171" s="549"/>
      <c r="Z171" s="550"/>
      <c r="AA171" s="550"/>
      <c r="AB171" s="549"/>
      <c r="AC171" s="550"/>
      <c r="AD171" s="550"/>
      <c r="AE171" s="549"/>
      <c r="AF171" s="550"/>
      <c r="AG171" s="550"/>
      <c r="AH171" s="549"/>
      <c r="AI171" s="550"/>
      <c r="AJ171" s="550"/>
      <c r="AK171" s="549"/>
      <c r="AL171" s="550"/>
      <c r="AM171" s="550"/>
      <c r="AN171" s="549"/>
      <c r="AO171" s="550"/>
      <c r="AP171" s="550"/>
      <c r="AQ171" s="549"/>
      <c r="AR171" s="550"/>
      <c r="AS171" s="550"/>
      <c r="AT171" s="549"/>
      <c r="AU171" s="550"/>
      <c r="AV171" s="550"/>
      <c r="AW171" s="549"/>
      <c r="AX171" s="550"/>
      <c r="AY171" s="550"/>
      <c r="AZ171" s="549"/>
      <c r="BA171" s="550"/>
      <c r="BB171" s="550"/>
      <c r="BC171" s="550"/>
    </row>
    <row r="172" spans="1:55" s="519" customFormat="1">
      <c r="A172" s="531" t="str">
        <f t="shared" si="18"/>
        <v>CP</v>
      </c>
      <c r="B172" s="50" t="str">
        <f t="shared" si="19"/>
        <v>Div12</v>
      </c>
      <c r="C172" s="50" t="s">
        <v>263</v>
      </c>
      <c r="D172" s="532" t="s">
        <v>137</v>
      </c>
      <c r="E172" s="50" t="s">
        <v>53</v>
      </c>
      <c r="F172" s="535">
        <f>R.11ITDevName4</f>
        <v>0</v>
      </c>
      <c r="G172" s="543">
        <f>R.11ITDevHrs4</f>
        <v>0</v>
      </c>
      <c r="H172" s="544">
        <f>Table3[[#This Row],[Hrs Rank]]</f>
        <v>0</v>
      </c>
      <c r="I172" s="534">
        <f t="shared" si="14"/>
        <v>0</v>
      </c>
      <c r="J172" s="534">
        <f t="shared" si="15"/>
        <v>0</v>
      </c>
      <c r="K172" s="551"/>
      <c r="L172" s="551"/>
      <c r="M172" s="547" t="s">
        <v>228</v>
      </c>
      <c r="N172" s="547" t="s">
        <v>228</v>
      </c>
      <c r="O172" s="548"/>
      <c r="P172" s="549"/>
      <c r="Q172" s="550"/>
      <c r="R172" s="550"/>
      <c r="S172" s="549"/>
      <c r="T172" s="550"/>
      <c r="U172" s="550"/>
      <c r="V172" s="549"/>
      <c r="W172" s="550"/>
      <c r="X172" s="550"/>
      <c r="Y172" s="549"/>
      <c r="Z172" s="550"/>
      <c r="AA172" s="550"/>
      <c r="AB172" s="549"/>
      <c r="AC172" s="550"/>
      <c r="AD172" s="550"/>
      <c r="AE172" s="549"/>
      <c r="AF172" s="550"/>
      <c r="AG172" s="550"/>
      <c r="AH172" s="549"/>
      <c r="AI172" s="550"/>
      <c r="AJ172" s="550"/>
      <c r="AK172" s="549"/>
      <c r="AL172" s="550"/>
      <c r="AM172" s="550"/>
      <c r="AN172" s="549"/>
      <c r="AO172" s="550"/>
      <c r="AP172" s="550"/>
      <c r="AQ172" s="549"/>
      <c r="AR172" s="550"/>
      <c r="AS172" s="550"/>
      <c r="AT172" s="549"/>
      <c r="AU172" s="550"/>
      <c r="AV172" s="550"/>
      <c r="AW172" s="549"/>
      <c r="AX172" s="550"/>
      <c r="AY172" s="550"/>
      <c r="AZ172" s="549"/>
      <c r="BA172" s="550"/>
      <c r="BB172" s="550"/>
      <c r="BC172" s="550"/>
    </row>
    <row r="173" spans="1:55" s="519" customFormat="1">
      <c r="A173" s="531" t="str">
        <f t="shared" si="18"/>
        <v>CP</v>
      </c>
      <c r="B173" s="50" t="str">
        <f t="shared" si="19"/>
        <v>Div12</v>
      </c>
      <c r="C173" s="50" t="s">
        <v>263</v>
      </c>
      <c r="D173" s="532" t="s">
        <v>137</v>
      </c>
      <c r="E173" s="50" t="s">
        <v>52</v>
      </c>
      <c r="F173" s="535">
        <f>R.11ITImpName1</f>
        <v>0</v>
      </c>
      <c r="G173" s="543">
        <f>R.11ITImpHrs1</f>
        <v>0</v>
      </c>
      <c r="H173" s="544">
        <f>Table3[[#This Row],[Hrs Rank]]</f>
        <v>0</v>
      </c>
      <c r="I173" s="534">
        <f t="shared" si="14"/>
        <v>0</v>
      </c>
      <c r="J173" s="534">
        <f t="shared" si="15"/>
        <v>0</v>
      </c>
      <c r="K173" s="551"/>
      <c r="L173" s="551"/>
      <c r="M173" s="547" t="s">
        <v>228</v>
      </c>
      <c r="N173" s="547" t="s">
        <v>228</v>
      </c>
      <c r="O173" s="548"/>
      <c r="P173" s="549"/>
      <c r="Q173" s="550"/>
      <c r="R173" s="550"/>
      <c r="S173" s="549"/>
      <c r="T173" s="550"/>
      <c r="U173" s="550"/>
      <c r="V173" s="549"/>
      <c r="W173" s="550"/>
      <c r="X173" s="550"/>
      <c r="Y173" s="549"/>
      <c r="Z173" s="550"/>
      <c r="AA173" s="550"/>
      <c r="AB173" s="549"/>
      <c r="AC173" s="550"/>
      <c r="AD173" s="550"/>
      <c r="AE173" s="549"/>
      <c r="AF173" s="550"/>
      <c r="AG173" s="550"/>
      <c r="AH173" s="549"/>
      <c r="AI173" s="550"/>
      <c r="AJ173" s="550"/>
      <c r="AK173" s="549"/>
      <c r="AL173" s="550"/>
      <c r="AM173" s="550"/>
      <c r="AN173" s="549"/>
      <c r="AO173" s="550"/>
      <c r="AP173" s="550"/>
      <c r="AQ173" s="549"/>
      <c r="AR173" s="550"/>
      <c r="AS173" s="550"/>
      <c r="AT173" s="549"/>
      <c r="AU173" s="550"/>
      <c r="AV173" s="550"/>
      <c r="AW173" s="549"/>
      <c r="AX173" s="550"/>
      <c r="AY173" s="550"/>
      <c r="AZ173" s="549"/>
      <c r="BA173" s="550"/>
      <c r="BB173" s="550"/>
      <c r="BC173" s="550"/>
    </row>
    <row r="174" spans="1:55" s="519" customFormat="1">
      <c r="A174" s="531" t="str">
        <f t="shared" si="18"/>
        <v>CP</v>
      </c>
      <c r="B174" s="50" t="str">
        <f t="shared" si="19"/>
        <v>Div12</v>
      </c>
      <c r="C174" s="50" t="s">
        <v>263</v>
      </c>
      <c r="D174" s="532" t="s">
        <v>137</v>
      </c>
      <c r="E174" s="50" t="s">
        <v>52</v>
      </c>
      <c r="F174" s="535" t="str">
        <f>R.11ITImpName2</f>
        <v xml:space="preserve"> </v>
      </c>
      <c r="G174" s="543">
        <f>R.11ITImpHrs2</f>
        <v>0</v>
      </c>
      <c r="H174" s="544">
        <f>Table3[[#This Row],[Hrs Rank]]</f>
        <v>0</v>
      </c>
      <c r="I174" s="534">
        <f t="shared" si="14"/>
        <v>0</v>
      </c>
      <c r="J174" s="534">
        <f t="shared" si="15"/>
        <v>0</v>
      </c>
      <c r="K174" s="551"/>
      <c r="L174" s="551"/>
      <c r="M174" s="547" t="s">
        <v>228</v>
      </c>
      <c r="N174" s="547" t="s">
        <v>228</v>
      </c>
      <c r="O174" s="548"/>
      <c r="P174" s="549"/>
      <c r="Q174" s="550"/>
      <c r="R174" s="550"/>
      <c r="S174" s="549"/>
      <c r="T174" s="550"/>
      <c r="U174" s="550"/>
      <c r="V174" s="549"/>
      <c r="W174" s="550"/>
      <c r="X174" s="550"/>
      <c r="Y174" s="549"/>
      <c r="Z174" s="550"/>
      <c r="AA174" s="550"/>
      <c r="AB174" s="549"/>
      <c r="AC174" s="550"/>
      <c r="AD174" s="550"/>
      <c r="AE174" s="549"/>
      <c r="AF174" s="550"/>
      <c r="AG174" s="550"/>
      <c r="AH174" s="549"/>
      <c r="AI174" s="550"/>
      <c r="AJ174" s="550"/>
      <c r="AK174" s="549"/>
      <c r="AL174" s="550"/>
      <c r="AM174" s="550"/>
      <c r="AN174" s="549"/>
      <c r="AO174" s="550"/>
      <c r="AP174" s="550"/>
      <c r="AQ174" s="549"/>
      <c r="AR174" s="550"/>
      <c r="AS174" s="550"/>
      <c r="AT174" s="549"/>
      <c r="AU174" s="550"/>
      <c r="AV174" s="550"/>
      <c r="AW174" s="549"/>
      <c r="AX174" s="550"/>
      <c r="AY174" s="550"/>
      <c r="AZ174" s="549"/>
      <c r="BA174" s="550"/>
      <c r="BB174" s="550"/>
      <c r="BC174" s="550"/>
    </row>
    <row r="175" spans="1:55" s="519" customFormat="1">
      <c r="A175" s="531" t="str">
        <f t="shared" si="18"/>
        <v>CP</v>
      </c>
      <c r="B175" s="50" t="str">
        <f t="shared" si="19"/>
        <v>Div12</v>
      </c>
      <c r="C175" s="50" t="s">
        <v>263</v>
      </c>
      <c r="D175" s="532" t="s">
        <v>137</v>
      </c>
      <c r="E175" s="50" t="s">
        <v>52</v>
      </c>
      <c r="F175" s="535" t="str">
        <f>R.11ITImpName3</f>
        <v xml:space="preserve"> </v>
      </c>
      <c r="G175" s="543">
        <f>R.11ITImpHrs3</f>
        <v>0</v>
      </c>
      <c r="H175" s="544">
        <f>Table3[[#This Row],[Hrs Rank]]</f>
        <v>0</v>
      </c>
      <c r="I175" s="534">
        <f t="shared" si="14"/>
        <v>0</v>
      </c>
      <c r="J175" s="534">
        <f t="shared" si="15"/>
        <v>0</v>
      </c>
      <c r="K175" s="551"/>
      <c r="L175" s="551"/>
      <c r="M175" s="547" t="s">
        <v>228</v>
      </c>
      <c r="N175" s="547" t="s">
        <v>228</v>
      </c>
      <c r="O175" s="548"/>
      <c r="P175" s="549"/>
      <c r="Q175" s="550"/>
      <c r="R175" s="550"/>
      <c r="S175" s="549"/>
      <c r="T175" s="550"/>
      <c r="U175" s="550"/>
      <c r="V175" s="549"/>
      <c r="W175" s="550"/>
      <c r="X175" s="550"/>
      <c r="Y175" s="549"/>
      <c r="Z175" s="550"/>
      <c r="AA175" s="550"/>
      <c r="AB175" s="549"/>
      <c r="AC175" s="550"/>
      <c r="AD175" s="550"/>
      <c r="AE175" s="549"/>
      <c r="AF175" s="550"/>
      <c r="AG175" s="550"/>
      <c r="AH175" s="549"/>
      <c r="AI175" s="550"/>
      <c r="AJ175" s="550"/>
      <c r="AK175" s="549"/>
      <c r="AL175" s="550"/>
      <c r="AM175" s="550"/>
      <c r="AN175" s="549"/>
      <c r="AO175" s="550"/>
      <c r="AP175" s="550"/>
      <c r="AQ175" s="549"/>
      <c r="AR175" s="550"/>
      <c r="AS175" s="550"/>
      <c r="AT175" s="549"/>
      <c r="AU175" s="550"/>
      <c r="AV175" s="550"/>
      <c r="AW175" s="549"/>
      <c r="AX175" s="550"/>
      <c r="AY175" s="550"/>
      <c r="AZ175" s="549"/>
      <c r="BA175" s="550"/>
      <c r="BB175" s="550"/>
      <c r="BC175" s="550"/>
    </row>
    <row r="176" spans="1:55" s="519" customFormat="1">
      <c r="A176" s="531" t="str">
        <f t="shared" si="18"/>
        <v>CP</v>
      </c>
      <c r="B176" s="50" t="str">
        <f t="shared" si="19"/>
        <v>Div12</v>
      </c>
      <c r="C176" s="50" t="s">
        <v>263</v>
      </c>
      <c r="D176" s="532" t="s">
        <v>137</v>
      </c>
      <c r="E176" s="50" t="s">
        <v>52</v>
      </c>
      <c r="F176" s="535" t="str">
        <f>R.11ITImpName4</f>
        <v xml:space="preserve"> </v>
      </c>
      <c r="G176" s="543">
        <f>R.11ITImpHrs4</f>
        <v>0</v>
      </c>
      <c r="H176" s="544">
        <f>Table3[[#This Row],[Hrs Rank]]</f>
        <v>0</v>
      </c>
      <c r="I176" s="534">
        <f t="shared" si="14"/>
        <v>0</v>
      </c>
      <c r="J176" s="534">
        <f t="shared" si="15"/>
        <v>0</v>
      </c>
      <c r="K176" s="551"/>
      <c r="L176" s="551"/>
      <c r="M176" s="547" t="s">
        <v>228</v>
      </c>
      <c r="N176" s="547" t="s">
        <v>228</v>
      </c>
      <c r="O176" s="548"/>
      <c r="P176" s="549"/>
      <c r="Q176" s="550"/>
      <c r="R176" s="550"/>
      <c r="S176" s="549"/>
      <c r="T176" s="550"/>
      <c r="U176" s="550"/>
      <c r="V176" s="549"/>
      <c r="W176" s="550"/>
      <c r="X176" s="550"/>
      <c r="Y176" s="549"/>
      <c r="Z176" s="550"/>
      <c r="AA176" s="550"/>
      <c r="AB176" s="549"/>
      <c r="AC176" s="550"/>
      <c r="AD176" s="550"/>
      <c r="AE176" s="549"/>
      <c r="AF176" s="550"/>
      <c r="AG176" s="550"/>
      <c r="AH176" s="549"/>
      <c r="AI176" s="550"/>
      <c r="AJ176" s="550"/>
      <c r="AK176" s="549"/>
      <c r="AL176" s="550"/>
      <c r="AM176" s="550"/>
      <c r="AN176" s="549"/>
      <c r="AO176" s="550"/>
      <c r="AP176" s="550"/>
      <c r="AQ176" s="549"/>
      <c r="AR176" s="550"/>
      <c r="AS176" s="550"/>
      <c r="AT176" s="549"/>
      <c r="AU176" s="550"/>
      <c r="AV176" s="550"/>
      <c r="AW176" s="549"/>
      <c r="AX176" s="550"/>
      <c r="AY176" s="550"/>
      <c r="AZ176" s="549"/>
      <c r="BA176" s="550"/>
      <c r="BB176" s="550"/>
      <c r="BC176" s="550"/>
    </row>
    <row r="177" spans="1:55" s="519" customFormat="1">
      <c r="A177" s="531" t="str">
        <f t="shared" si="18"/>
        <v>CP</v>
      </c>
      <c r="B177" s="50" t="str">
        <f t="shared" si="19"/>
        <v>Div12</v>
      </c>
      <c r="C177" s="50" t="s">
        <v>263</v>
      </c>
      <c r="D177" s="532" t="s">
        <v>274</v>
      </c>
      <c r="E177" s="50" t="s">
        <v>53</v>
      </c>
      <c r="F177" s="535">
        <f>R.11BSDDevName1</f>
        <v>0</v>
      </c>
      <c r="G177" s="543">
        <f>R.11BSDDevHrs1</f>
        <v>3</v>
      </c>
      <c r="H177" s="544">
        <f>Table3[[#This Row],[Hrs Rank]]</f>
        <v>3</v>
      </c>
      <c r="I177" s="534">
        <f t="shared" si="14"/>
        <v>40</v>
      </c>
      <c r="J177" s="534">
        <f t="shared" si="15"/>
        <v>80</v>
      </c>
      <c r="K177" s="551"/>
      <c r="L177" s="551"/>
      <c r="M177" s="547" t="s">
        <v>228</v>
      </c>
      <c r="N177" s="547" t="s">
        <v>228</v>
      </c>
      <c r="O177" s="548"/>
      <c r="P177" s="549"/>
      <c r="Q177" s="550"/>
      <c r="R177" s="550"/>
      <c r="S177" s="549"/>
      <c r="T177" s="550"/>
      <c r="U177" s="550"/>
      <c r="V177" s="549"/>
      <c r="W177" s="550"/>
      <c r="X177" s="550"/>
      <c r="Y177" s="549"/>
      <c r="Z177" s="550"/>
      <c r="AA177" s="550"/>
      <c r="AB177" s="549"/>
      <c r="AC177" s="550"/>
      <c r="AD177" s="550"/>
      <c r="AE177" s="549"/>
      <c r="AF177" s="550"/>
      <c r="AG177" s="550"/>
      <c r="AH177" s="549"/>
      <c r="AI177" s="550"/>
      <c r="AJ177" s="550"/>
      <c r="AK177" s="549"/>
      <c r="AL177" s="550"/>
      <c r="AM177" s="550"/>
      <c r="AN177" s="549"/>
      <c r="AO177" s="550"/>
      <c r="AP177" s="550"/>
      <c r="AQ177" s="549"/>
      <c r="AR177" s="550"/>
      <c r="AS177" s="550"/>
      <c r="AT177" s="549"/>
      <c r="AU177" s="550"/>
      <c r="AV177" s="550"/>
      <c r="AW177" s="549"/>
      <c r="AX177" s="550"/>
      <c r="AY177" s="550"/>
      <c r="AZ177" s="549"/>
      <c r="BA177" s="550"/>
      <c r="BB177" s="550"/>
      <c r="BC177" s="550"/>
    </row>
    <row r="178" spans="1:55" s="519" customFormat="1">
      <c r="A178" s="531" t="str">
        <f t="shared" si="18"/>
        <v>CP</v>
      </c>
      <c r="B178" s="50" t="str">
        <f t="shared" si="19"/>
        <v>Div12</v>
      </c>
      <c r="C178" s="50" t="s">
        <v>263</v>
      </c>
      <c r="D178" s="532" t="s">
        <v>274</v>
      </c>
      <c r="E178" s="50" t="s">
        <v>53</v>
      </c>
      <c r="F178" s="535" t="str">
        <f>R.11BSDDevName2</f>
        <v xml:space="preserve"> </v>
      </c>
      <c r="G178" s="543">
        <f>R.11BSDDevHrs2</f>
        <v>0</v>
      </c>
      <c r="H178" s="544">
        <f>Table3[[#This Row],[Hrs Rank]]</f>
        <v>0</v>
      </c>
      <c r="I178" s="534">
        <f t="shared" si="14"/>
        <v>0</v>
      </c>
      <c r="J178" s="534">
        <f t="shared" si="15"/>
        <v>0</v>
      </c>
      <c r="K178" s="551"/>
      <c r="L178" s="551"/>
      <c r="M178" s="547" t="s">
        <v>228</v>
      </c>
      <c r="N178" s="547" t="s">
        <v>228</v>
      </c>
      <c r="O178" s="548"/>
      <c r="P178" s="549"/>
      <c r="Q178" s="550"/>
      <c r="R178" s="550"/>
      <c r="S178" s="549"/>
      <c r="T178" s="550"/>
      <c r="U178" s="550"/>
      <c r="V178" s="549"/>
      <c r="W178" s="550"/>
      <c r="X178" s="550"/>
      <c r="Y178" s="549"/>
      <c r="Z178" s="550"/>
      <c r="AA178" s="550"/>
      <c r="AB178" s="549"/>
      <c r="AC178" s="550"/>
      <c r="AD178" s="550"/>
      <c r="AE178" s="549"/>
      <c r="AF178" s="550"/>
      <c r="AG178" s="550"/>
      <c r="AH178" s="549"/>
      <c r="AI178" s="550"/>
      <c r="AJ178" s="550"/>
      <c r="AK178" s="549"/>
      <c r="AL178" s="550"/>
      <c r="AM178" s="550"/>
      <c r="AN178" s="549"/>
      <c r="AO178" s="550"/>
      <c r="AP178" s="550"/>
      <c r="AQ178" s="549"/>
      <c r="AR178" s="550"/>
      <c r="AS178" s="550"/>
      <c r="AT178" s="549"/>
      <c r="AU178" s="550"/>
      <c r="AV178" s="550"/>
      <c r="AW178" s="549"/>
      <c r="AX178" s="550"/>
      <c r="AY178" s="550"/>
      <c r="AZ178" s="549"/>
      <c r="BA178" s="550"/>
      <c r="BB178" s="550"/>
      <c r="BC178" s="550"/>
    </row>
    <row r="179" spans="1:55" s="519" customFormat="1">
      <c r="A179" s="531" t="str">
        <f t="shared" si="18"/>
        <v>CP</v>
      </c>
      <c r="B179" s="50" t="str">
        <f t="shared" si="19"/>
        <v>Div12</v>
      </c>
      <c r="C179" s="50" t="s">
        <v>263</v>
      </c>
      <c r="D179" s="532" t="s">
        <v>274</v>
      </c>
      <c r="E179" s="50" t="s">
        <v>53</v>
      </c>
      <c r="F179" s="535" t="str">
        <f>R.11BSDDevName3</f>
        <v xml:space="preserve"> </v>
      </c>
      <c r="G179" s="543">
        <f>R.11BSDDevHrs3</f>
        <v>0</v>
      </c>
      <c r="H179" s="544">
        <f>Table3[[#This Row],[Hrs Rank]]</f>
        <v>0</v>
      </c>
      <c r="I179" s="534">
        <f t="shared" si="14"/>
        <v>0</v>
      </c>
      <c r="J179" s="534">
        <f t="shared" si="15"/>
        <v>0</v>
      </c>
      <c r="K179" s="551"/>
      <c r="L179" s="551"/>
      <c r="M179" s="547" t="s">
        <v>228</v>
      </c>
      <c r="N179" s="547" t="s">
        <v>228</v>
      </c>
      <c r="O179" s="548"/>
      <c r="P179" s="549"/>
      <c r="Q179" s="550"/>
      <c r="R179" s="550"/>
      <c r="S179" s="549"/>
      <c r="T179" s="550"/>
      <c r="U179" s="550"/>
      <c r="V179" s="549"/>
      <c r="W179" s="550"/>
      <c r="X179" s="550"/>
      <c r="Y179" s="549"/>
      <c r="Z179" s="550"/>
      <c r="AA179" s="550"/>
      <c r="AB179" s="549"/>
      <c r="AC179" s="550"/>
      <c r="AD179" s="550"/>
      <c r="AE179" s="549"/>
      <c r="AF179" s="550"/>
      <c r="AG179" s="550"/>
      <c r="AH179" s="549"/>
      <c r="AI179" s="550"/>
      <c r="AJ179" s="550"/>
      <c r="AK179" s="549"/>
      <c r="AL179" s="550"/>
      <c r="AM179" s="550"/>
      <c r="AN179" s="549"/>
      <c r="AO179" s="550"/>
      <c r="AP179" s="550"/>
      <c r="AQ179" s="549"/>
      <c r="AR179" s="550"/>
      <c r="AS179" s="550"/>
      <c r="AT179" s="549"/>
      <c r="AU179" s="550"/>
      <c r="AV179" s="550"/>
      <c r="AW179" s="549"/>
      <c r="AX179" s="550"/>
      <c r="AY179" s="550"/>
      <c r="AZ179" s="549"/>
      <c r="BA179" s="550"/>
      <c r="BB179" s="550"/>
      <c r="BC179" s="550"/>
    </row>
    <row r="180" spans="1:55" s="519" customFormat="1">
      <c r="A180" s="531" t="str">
        <f t="shared" si="18"/>
        <v>CP</v>
      </c>
      <c r="B180" s="50" t="str">
        <f t="shared" si="19"/>
        <v>Div12</v>
      </c>
      <c r="C180" s="50" t="s">
        <v>263</v>
      </c>
      <c r="D180" s="532" t="s">
        <v>274</v>
      </c>
      <c r="E180" s="50" t="s">
        <v>53</v>
      </c>
      <c r="F180" s="535" t="str">
        <f>R.11BSDDevName4</f>
        <v xml:space="preserve"> </v>
      </c>
      <c r="G180" s="543">
        <f>R.11BSDDevHrs4</f>
        <v>0</v>
      </c>
      <c r="H180" s="544">
        <f>Table3[[#This Row],[Hrs Rank]]</f>
        <v>0</v>
      </c>
      <c r="I180" s="534">
        <f t="shared" si="14"/>
        <v>0</v>
      </c>
      <c r="J180" s="534">
        <f t="shared" si="15"/>
        <v>0</v>
      </c>
      <c r="K180" s="551"/>
      <c r="L180" s="551"/>
      <c r="M180" s="547" t="s">
        <v>228</v>
      </c>
      <c r="N180" s="547" t="s">
        <v>228</v>
      </c>
      <c r="O180" s="548"/>
      <c r="P180" s="549"/>
      <c r="Q180" s="550"/>
      <c r="R180" s="550"/>
      <c r="S180" s="549"/>
      <c r="T180" s="550"/>
      <c r="U180" s="550"/>
      <c r="V180" s="549"/>
      <c r="W180" s="550"/>
      <c r="X180" s="550"/>
      <c r="Y180" s="549"/>
      <c r="Z180" s="550"/>
      <c r="AA180" s="550"/>
      <c r="AB180" s="549"/>
      <c r="AC180" s="550"/>
      <c r="AD180" s="550"/>
      <c r="AE180" s="549"/>
      <c r="AF180" s="550"/>
      <c r="AG180" s="550"/>
      <c r="AH180" s="549"/>
      <c r="AI180" s="550"/>
      <c r="AJ180" s="550"/>
      <c r="AK180" s="549"/>
      <c r="AL180" s="550"/>
      <c r="AM180" s="550"/>
      <c r="AN180" s="549"/>
      <c r="AO180" s="550"/>
      <c r="AP180" s="550"/>
      <c r="AQ180" s="549"/>
      <c r="AR180" s="550"/>
      <c r="AS180" s="550"/>
      <c r="AT180" s="549"/>
      <c r="AU180" s="550"/>
      <c r="AV180" s="550"/>
      <c r="AW180" s="549"/>
      <c r="AX180" s="550"/>
      <c r="AY180" s="550"/>
      <c r="AZ180" s="549"/>
      <c r="BA180" s="550"/>
      <c r="BB180" s="550"/>
      <c r="BC180" s="550"/>
    </row>
    <row r="181" spans="1:55" s="519" customFormat="1">
      <c r="A181" s="531" t="str">
        <f t="shared" si="18"/>
        <v>CP</v>
      </c>
      <c r="B181" s="50" t="str">
        <f t="shared" si="19"/>
        <v>Div12</v>
      </c>
      <c r="C181" s="50" t="s">
        <v>263</v>
      </c>
      <c r="D181" s="532" t="s">
        <v>274</v>
      </c>
      <c r="E181" s="50" t="s">
        <v>52</v>
      </c>
      <c r="F181" s="535">
        <f>R.11BSDImpName1</f>
        <v>0</v>
      </c>
      <c r="G181" s="543">
        <f>R.11BSDImpHrs1</f>
        <v>0</v>
      </c>
      <c r="H181" s="544">
        <f>Table3[[#This Row],[Hrs Rank]]</f>
        <v>0</v>
      </c>
      <c r="I181" s="534">
        <f t="shared" si="14"/>
        <v>0</v>
      </c>
      <c r="J181" s="534">
        <f t="shared" si="15"/>
        <v>0</v>
      </c>
      <c r="K181" s="551"/>
      <c r="L181" s="551"/>
      <c r="M181" s="547" t="s">
        <v>228</v>
      </c>
      <c r="N181" s="547" t="s">
        <v>228</v>
      </c>
      <c r="O181" s="548"/>
      <c r="P181" s="549"/>
      <c r="Q181" s="550"/>
      <c r="R181" s="550"/>
      <c r="S181" s="549"/>
      <c r="T181" s="550"/>
      <c r="U181" s="550"/>
      <c r="V181" s="549"/>
      <c r="W181" s="550"/>
      <c r="X181" s="550"/>
      <c r="Y181" s="549"/>
      <c r="Z181" s="550"/>
      <c r="AA181" s="550"/>
      <c r="AB181" s="549"/>
      <c r="AC181" s="550"/>
      <c r="AD181" s="550"/>
      <c r="AE181" s="549"/>
      <c r="AF181" s="550"/>
      <c r="AG181" s="550"/>
      <c r="AH181" s="549"/>
      <c r="AI181" s="550"/>
      <c r="AJ181" s="550"/>
      <c r="AK181" s="549"/>
      <c r="AL181" s="550"/>
      <c r="AM181" s="550"/>
      <c r="AN181" s="549"/>
      <c r="AO181" s="550"/>
      <c r="AP181" s="550"/>
      <c r="AQ181" s="549"/>
      <c r="AR181" s="550"/>
      <c r="AS181" s="550"/>
      <c r="AT181" s="549"/>
      <c r="AU181" s="550"/>
      <c r="AV181" s="550"/>
      <c r="AW181" s="549"/>
      <c r="AX181" s="550"/>
      <c r="AY181" s="550"/>
      <c r="AZ181" s="549"/>
      <c r="BA181" s="550"/>
      <c r="BB181" s="550"/>
      <c r="BC181" s="550"/>
    </row>
    <row r="182" spans="1:55" s="519" customFormat="1">
      <c r="A182" s="531" t="str">
        <f t="shared" si="18"/>
        <v>CP</v>
      </c>
      <c r="B182" s="50" t="str">
        <f t="shared" si="19"/>
        <v>Div12</v>
      </c>
      <c r="C182" s="50" t="s">
        <v>263</v>
      </c>
      <c r="D182" s="532" t="s">
        <v>274</v>
      </c>
      <c r="E182" s="50" t="s">
        <v>52</v>
      </c>
      <c r="F182" s="535" t="str">
        <f>R.11BSDImpName2</f>
        <v xml:space="preserve"> </v>
      </c>
      <c r="G182" s="543">
        <f>R.11BSDImpHrs2</f>
        <v>0</v>
      </c>
      <c r="H182" s="544">
        <f>Table3[[#This Row],[Hrs Rank]]</f>
        <v>0</v>
      </c>
      <c r="I182" s="534">
        <f t="shared" si="14"/>
        <v>0</v>
      </c>
      <c r="J182" s="534">
        <f t="shared" si="15"/>
        <v>0</v>
      </c>
      <c r="K182" s="551"/>
      <c r="L182" s="551"/>
      <c r="M182" s="547" t="s">
        <v>228</v>
      </c>
      <c r="N182" s="547" t="s">
        <v>228</v>
      </c>
      <c r="O182" s="548"/>
      <c r="P182" s="549"/>
      <c r="Q182" s="550"/>
      <c r="R182" s="550"/>
      <c r="S182" s="549"/>
      <c r="T182" s="550"/>
      <c r="U182" s="550"/>
      <c r="V182" s="549"/>
      <c r="W182" s="550"/>
      <c r="X182" s="550"/>
      <c r="Y182" s="549"/>
      <c r="Z182" s="550"/>
      <c r="AA182" s="550"/>
      <c r="AB182" s="549"/>
      <c r="AC182" s="550"/>
      <c r="AD182" s="550"/>
      <c r="AE182" s="549"/>
      <c r="AF182" s="550"/>
      <c r="AG182" s="550"/>
      <c r="AH182" s="549"/>
      <c r="AI182" s="550"/>
      <c r="AJ182" s="550"/>
      <c r="AK182" s="549"/>
      <c r="AL182" s="550"/>
      <c r="AM182" s="550"/>
      <c r="AN182" s="549"/>
      <c r="AO182" s="550"/>
      <c r="AP182" s="550"/>
      <c r="AQ182" s="549"/>
      <c r="AR182" s="550"/>
      <c r="AS182" s="550"/>
      <c r="AT182" s="549"/>
      <c r="AU182" s="550"/>
      <c r="AV182" s="550"/>
      <c r="AW182" s="549"/>
      <c r="AX182" s="550"/>
      <c r="AY182" s="550"/>
      <c r="AZ182" s="549"/>
      <c r="BA182" s="550"/>
      <c r="BB182" s="550"/>
      <c r="BC182" s="550"/>
    </row>
    <row r="183" spans="1:55" s="519" customFormat="1">
      <c r="A183" s="531" t="str">
        <f t="shared" si="18"/>
        <v>CP</v>
      </c>
      <c r="B183" s="50" t="str">
        <f t="shared" si="19"/>
        <v>Div12</v>
      </c>
      <c r="C183" s="50" t="s">
        <v>263</v>
      </c>
      <c r="D183" s="532" t="s">
        <v>274</v>
      </c>
      <c r="E183" s="50" t="s">
        <v>52</v>
      </c>
      <c r="F183" s="535" t="str">
        <f>R.11BSDImpName3</f>
        <v xml:space="preserve"> </v>
      </c>
      <c r="G183" s="543">
        <f>R.11BSDImpHrs3</f>
        <v>0</v>
      </c>
      <c r="H183" s="544">
        <f>Table3[[#This Row],[Hrs Rank]]</f>
        <v>0</v>
      </c>
      <c r="I183" s="534">
        <f t="shared" si="14"/>
        <v>0</v>
      </c>
      <c r="J183" s="534">
        <f t="shared" si="15"/>
        <v>0</v>
      </c>
      <c r="K183" s="551"/>
      <c r="L183" s="551"/>
      <c r="M183" s="547" t="s">
        <v>228</v>
      </c>
      <c r="N183" s="547" t="s">
        <v>228</v>
      </c>
      <c r="O183" s="548"/>
      <c r="P183" s="549"/>
      <c r="Q183" s="550"/>
      <c r="R183" s="550"/>
      <c r="S183" s="549"/>
      <c r="T183" s="550"/>
      <c r="U183" s="550"/>
      <c r="V183" s="549"/>
      <c r="W183" s="550"/>
      <c r="X183" s="550"/>
      <c r="Y183" s="549"/>
      <c r="Z183" s="550"/>
      <c r="AA183" s="550"/>
      <c r="AB183" s="549"/>
      <c r="AC183" s="550"/>
      <c r="AD183" s="550"/>
      <c r="AE183" s="549"/>
      <c r="AF183" s="550"/>
      <c r="AG183" s="550"/>
      <c r="AH183" s="549"/>
      <c r="AI183" s="550"/>
      <c r="AJ183" s="550"/>
      <c r="AK183" s="549"/>
      <c r="AL183" s="550"/>
      <c r="AM183" s="550"/>
      <c r="AN183" s="549"/>
      <c r="AO183" s="550"/>
      <c r="AP183" s="550"/>
      <c r="AQ183" s="549"/>
      <c r="AR183" s="550"/>
      <c r="AS183" s="550"/>
      <c r="AT183" s="549"/>
      <c r="AU183" s="550"/>
      <c r="AV183" s="550"/>
      <c r="AW183" s="549"/>
      <c r="AX183" s="550"/>
      <c r="AY183" s="550"/>
      <c r="AZ183" s="549"/>
      <c r="BA183" s="550"/>
      <c r="BB183" s="550"/>
      <c r="BC183" s="550"/>
    </row>
    <row r="184" spans="1:55" s="519" customFormat="1">
      <c r="A184" s="531" t="str">
        <f t="shared" si="18"/>
        <v>CP</v>
      </c>
      <c r="B184" s="50" t="str">
        <f t="shared" si="19"/>
        <v>Div12</v>
      </c>
      <c r="C184" s="50" t="s">
        <v>263</v>
      </c>
      <c r="D184" s="532" t="s">
        <v>274</v>
      </c>
      <c r="E184" s="50" t="s">
        <v>52</v>
      </c>
      <c r="F184" s="535" t="str">
        <f>R.11BSDImpName4</f>
        <v xml:space="preserve"> </v>
      </c>
      <c r="G184" s="543">
        <f>R.11BSDImpHrs4</f>
        <v>0</v>
      </c>
      <c r="H184" s="544">
        <f>Table3[[#This Row],[Hrs Rank]]</f>
        <v>0</v>
      </c>
      <c r="I184" s="534">
        <f t="shared" si="14"/>
        <v>0</v>
      </c>
      <c r="J184" s="534">
        <f t="shared" si="15"/>
        <v>0</v>
      </c>
      <c r="K184" s="551"/>
      <c r="L184" s="551"/>
      <c r="M184" s="547" t="s">
        <v>228</v>
      </c>
      <c r="N184" s="547" t="s">
        <v>228</v>
      </c>
      <c r="O184" s="548"/>
      <c r="P184" s="549"/>
      <c r="Q184" s="550"/>
      <c r="R184" s="550"/>
      <c r="S184" s="549"/>
      <c r="T184" s="550"/>
      <c r="U184" s="550"/>
      <c r="V184" s="549"/>
      <c r="W184" s="550"/>
      <c r="X184" s="550"/>
      <c r="Y184" s="549"/>
      <c r="Z184" s="550"/>
      <c r="AA184" s="550"/>
      <c r="AB184" s="549"/>
      <c r="AC184" s="550"/>
      <c r="AD184" s="550"/>
      <c r="AE184" s="549"/>
      <c r="AF184" s="550"/>
      <c r="AG184" s="550"/>
      <c r="AH184" s="549"/>
      <c r="AI184" s="550"/>
      <c r="AJ184" s="550"/>
      <c r="AK184" s="549"/>
      <c r="AL184" s="550"/>
      <c r="AM184" s="550"/>
      <c r="AN184" s="549"/>
      <c r="AO184" s="550"/>
      <c r="AP184" s="550"/>
      <c r="AQ184" s="549"/>
      <c r="AR184" s="550"/>
      <c r="AS184" s="550"/>
      <c r="AT184" s="549"/>
      <c r="AU184" s="550"/>
      <c r="AV184" s="550"/>
      <c r="AW184" s="549"/>
      <c r="AX184" s="550"/>
      <c r="AY184" s="550"/>
      <c r="AZ184" s="549"/>
      <c r="BA184" s="550"/>
      <c r="BB184" s="550"/>
      <c r="BC184" s="550"/>
    </row>
    <row r="185" spans="1:55" s="519" customFormat="1">
      <c r="A185" s="531" t="str">
        <f t="shared" si="18"/>
        <v>CP</v>
      </c>
      <c r="B185" s="50" t="str">
        <f t="shared" si="19"/>
        <v>Div12</v>
      </c>
      <c r="C185" s="50" t="s">
        <v>264</v>
      </c>
      <c r="D185" s="532" t="s">
        <v>152</v>
      </c>
      <c r="E185" s="50" t="s">
        <v>53</v>
      </c>
      <c r="F185" s="535" t="str">
        <f>R.12OCEDevName1</f>
        <v>Various OCE staff</v>
      </c>
      <c r="G185" s="543">
        <f>R.12OCEDevHrs1</f>
        <v>2</v>
      </c>
      <c r="H185" s="544">
        <f>Table3[[#This Row],[Hrs Rank]]</f>
        <v>2</v>
      </c>
      <c r="I185" s="534">
        <f t="shared" si="14"/>
        <v>8</v>
      </c>
      <c r="J185" s="534">
        <f t="shared" si="15"/>
        <v>40</v>
      </c>
      <c r="K185" s="551"/>
      <c r="L185" s="551"/>
      <c r="M185" s="547" t="s">
        <v>228</v>
      </c>
      <c r="N185" s="547" t="s">
        <v>228</v>
      </c>
      <c r="O185" s="548"/>
      <c r="P185" s="549"/>
      <c r="Q185" s="550"/>
      <c r="R185" s="550"/>
      <c r="S185" s="549"/>
      <c r="T185" s="550"/>
      <c r="U185" s="550"/>
      <c r="V185" s="549"/>
      <c r="W185" s="550"/>
      <c r="X185" s="550"/>
      <c r="Y185" s="549"/>
      <c r="Z185" s="550"/>
      <c r="AA185" s="550"/>
      <c r="AB185" s="549"/>
      <c r="AC185" s="550"/>
      <c r="AD185" s="550"/>
      <c r="AE185" s="549"/>
      <c r="AF185" s="550"/>
      <c r="AG185" s="550"/>
      <c r="AH185" s="549"/>
      <c r="AI185" s="550"/>
      <c r="AJ185" s="550"/>
      <c r="AK185" s="549"/>
      <c r="AL185" s="550"/>
      <c r="AM185" s="550"/>
      <c r="AN185" s="549"/>
      <c r="AO185" s="550"/>
      <c r="AP185" s="550"/>
      <c r="AQ185" s="549"/>
      <c r="AR185" s="550"/>
      <c r="AS185" s="550"/>
      <c r="AT185" s="549"/>
      <c r="AU185" s="550"/>
      <c r="AV185" s="550"/>
      <c r="AW185" s="549"/>
      <c r="AX185" s="550"/>
      <c r="AY185" s="550"/>
      <c r="AZ185" s="549"/>
      <c r="BA185" s="550"/>
      <c r="BB185" s="550"/>
      <c r="BC185" s="550"/>
    </row>
    <row r="186" spans="1:55" s="519" customFormat="1">
      <c r="A186" s="531" t="str">
        <f t="shared" si="18"/>
        <v>CP</v>
      </c>
      <c r="B186" s="50" t="str">
        <f t="shared" si="19"/>
        <v>Div12</v>
      </c>
      <c r="C186" s="50" t="s">
        <v>264</v>
      </c>
      <c r="D186" s="532" t="s">
        <v>152</v>
      </c>
      <c r="E186" s="50" t="s">
        <v>53</v>
      </c>
      <c r="F186" s="535" t="str">
        <f>R.12OCEDevName2</f>
        <v xml:space="preserve"> </v>
      </c>
      <c r="G186" s="543">
        <f>R.12OCEDevHrs2</f>
        <v>0</v>
      </c>
      <c r="H186" s="544">
        <f>Table3[[#This Row],[Hrs Rank]]</f>
        <v>0</v>
      </c>
      <c r="I186" s="534">
        <f t="shared" si="14"/>
        <v>0</v>
      </c>
      <c r="J186" s="534">
        <f t="shared" si="15"/>
        <v>0</v>
      </c>
      <c r="K186" s="551"/>
      <c r="L186" s="551"/>
      <c r="M186" s="547" t="s">
        <v>228</v>
      </c>
      <c r="N186" s="547" t="s">
        <v>228</v>
      </c>
      <c r="O186" s="548"/>
      <c r="P186" s="549"/>
      <c r="Q186" s="550"/>
      <c r="R186" s="550"/>
      <c r="S186" s="549"/>
      <c r="T186" s="550"/>
      <c r="U186" s="550"/>
      <c r="V186" s="549"/>
      <c r="W186" s="550"/>
      <c r="X186" s="550"/>
      <c r="Y186" s="549"/>
      <c r="Z186" s="550"/>
      <c r="AA186" s="550"/>
      <c r="AB186" s="549"/>
      <c r="AC186" s="550"/>
      <c r="AD186" s="550"/>
      <c r="AE186" s="549"/>
      <c r="AF186" s="550"/>
      <c r="AG186" s="550"/>
      <c r="AH186" s="549"/>
      <c r="AI186" s="550"/>
      <c r="AJ186" s="550"/>
      <c r="AK186" s="549"/>
      <c r="AL186" s="550"/>
      <c r="AM186" s="550"/>
      <c r="AN186" s="549"/>
      <c r="AO186" s="550"/>
      <c r="AP186" s="550"/>
      <c r="AQ186" s="549"/>
      <c r="AR186" s="550"/>
      <c r="AS186" s="550"/>
      <c r="AT186" s="549"/>
      <c r="AU186" s="550"/>
      <c r="AV186" s="550"/>
      <c r="AW186" s="549"/>
      <c r="AX186" s="550"/>
      <c r="AY186" s="550"/>
      <c r="AZ186" s="549"/>
      <c r="BA186" s="550"/>
      <c r="BB186" s="550"/>
      <c r="BC186" s="550"/>
    </row>
    <row r="187" spans="1:55" s="519" customFormat="1">
      <c r="A187" s="531" t="str">
        <f t="shared" si="18"/>
        <v>CP</v>
      </c>
      <c r="B187" s="50" t="str">
        <f t="shared" si="19"/>
        <v>Div12</v>
      </c>
      <c r="C187" s="50" t="s">
        <v>264</v>
      </c>
      <c r="D187" s="532" t="s">
        <v>152</v>
      </c>
      <c r="E187" s="50" t="s">
        <v>53</v>
      </c>
      <c r="F187" s="535" t="str">
        <f>R.12OCEDevName3</f>
        <v xml:space="preserve"> </v>
      </c>
      <c r="G187" s="543">
        <f>R.12OCEDevHrs3</f>
        <v>0</v>
      </c>
      <c r="H187" s="544">
        <f>Table3[[#This Row],[Hrs Rank]]</f>
        <v>0</v>
      </c>
      <c r="I187" s="534">
        <f t="shared" si="14"/>
        <v>0</v>
      </c>
      <c r="J187" s="534">
        <f t="shared" si="15"/>
        <v>0</v>
      </c>
      <c r="K187" s="551"/>
      <c r="L187" s="551"/>
      <c r="M187" s="547" t="s">
        <v>228</v>
      </c>
      <c r="N187" s="547" t="s">
        <v>228</v>
      </c>
      <c r="O187" s="548"/>
      <c r="P187" s="549"/>
      <c r="Q187" s="550"/>
      <c r="R187" s="550"/>
      <c r="S187" s="549"/>
      <c r="T187" s="550"/>
      <c r="U187" s="550"/>
      <c r="V187" s="549"/>
      <c r="W187" s="550"/>
      <c r="X187" s="550"/>
      <c r="Y187" s="549"/>
      <c r="Z187" s="550"/>
      <c r="AA187" s="550"/>
      <c r="AB187" s="549"/>
      <c r="AC187" s="550"/>
      <c r="AD187" s="550"/>
      <c r="AE187" s="549"/>
      <c r="AF187" s="550"/>
      <c r="AG187" s="550"/>
      <c r="AH187" s="549"/>
      <c r="AI187" s="550"/>
      <c r="AJ187" s="550"/>
      <c r="AK187" s="549"/>
      <c r="AL187" s="550"/>
      <c r="AM187" s="550"/>
      <c r="AN187" s="549"/>
      <c r="AO187" s="550"/>
      <c r="AP187" s="550"/>
      <c r="AQ187" s="549"/>
      <c r="AR187" s="550"/>
      <c r="AS187" s="550"/>
      <c r="AT187" s="549"/>
      <c r="AU187" s="550"/>
      <c r="AV187" s="550"/>
      <c r="AW187" s="549"/>
      <c r="AX187" s="550"/>
      <c r="AY187" s="550"/>
      <c r="AZ187" s="549"/>
      <c r="BA187" s="550"/>
      <c r="BB187" s="550"/>
      <c r="BC187" s="550"/>
    </row>
    <row r="188" spans="1:55" s="519" customFormat="1">
      <c r="A188" s="531" t="str">
        <f t="shared" si="18"/>
        <v>CP</v>
      </c>
      <c r="B188" s="50" t="str">
        <f t="shared" si="19"/>
        <v>Div12</v>
      </c>
      <c r="C188" s="50" t="s">
        <v>264</v>
      </c>
      <c r="D188" s="532" t="s">
        <v>152</v>
      </c>
      <c r="E188" s="50" t="s">
        <v>53</v>
      </c>
      <c r="F188" s="535" t="str">
        <f>R.12OCEDevName4</f>
        <v xml:space="preserve"> </v>
      </c>
      <c r="G188" s="543">
        <f>R.12OCEDevHrs4</f>
        <v>0</v>
      </c>
      <c r="H188" s="544">
        <f>Table3[[#This Row],[Hrs Rank]]</f>
        <v>0</v>
      </c>
      <c r="I188" s="534">
        <f t="shared" si="14"/>
        <v>0</v>
      </c>
      <c r="J188" s="534">
        <f t="shared" si="15"/>
        <v>0</v>
      </c>
      <c r="K188" s="551"/>
      <c r="L188" s="551"/>
      <c r="M188" s="547" t="s">
        <v>228</v>
      </c>
      <c r="N188" s="547" t="s">
        <v>228</v>
      </c>
      <c r="O188" s="548"/>
      <c r="P188" s="549"/>
      <c r="Q188" s="550"/>
      <c r="R188" s="550"/>
      <c r="S188" s="549"/>
      <c r="T188" s="550"/>
      <c r="U188" s="550"/>
      <c r="V188" s="549"/>
      <c r="W188" s="550"/>
      <c r="X188" s="550"/>
      <c r="Y188" s="549"/>
      <c r="Z188" s="550"/>
      <c r="AA188" s="550"/>
      <c r="AB188" s="549"/>
      <c r="AC188" s="550"/>
      <c r="AD188" s="550"/>
      <c r="AE188" s="549"/>
      <c r="AF188" s="550"/>
      <c r="AG188" s="550"/>
      <c r="AH188" s="549"/>
      <c r="AI188" s="550"/>
      <c r="AJ188" s="550"/>
      <c r="AK188" s="549"/>
      <c r="AL188" s="550"/>
      <c r="AM188" s="550"/>
      <c r="AN188" s="549"/>
      <c r="AO188" s="550"/>
      <c r="AP188" s="550"/>
      <c r="AQ188" s="549"/>
      <c r="AR188" s="550"/>
      <c r="AS188" s="550"/>
      <c r="AT188" s="549"/>
      <c r="AU188" s="550"/>
      <c r="AV188" s="550"/>
      <c r="AW188" s="549"/>
      <c r="AX188" s="550"/>
      <c r="AY188" s="550"/>
      <c r="AZ188" s="549"/>
      <c r="BA188" s="550"/>
      <c r="BB188" s="550"/>
      <c r="BC188" s="550"/>
    </row>
    <row r="189" spans="1:55" s="519" customFormat="1">
      <c r="A189" s="531" t="str">
        <f t="shared" si="18"/>
        <v>CP</v>
      </c>
      <c r="B189" s="50" t="str">
        <f t="shared" si="19"/>
        <v>Div12</v>
      </c>
      <c r="C189" s="50" t="s">
        <v>264</v>
      </c>
      <c r="D189" s="532" t="s">
        <v>152</v>
      </c>
      <c r="E189" s="50" t="s">
        <v>52</v>
      </c>
      <c r="F189" s="535">
        <f>R.12OCEImpName1</f>
        <v>0</v>
      </c>
      <c r="G189" s="543">
        <f>R.12OCEImpHrs1</f>
        <v>0</v>
      </c>
      <c r="H189" s="544">
        <f>Table3[[#This Row],[Hrs Rank]]</f>
        <v>0</v>
      </c>
      <c r="I189" s="534">
        <f t="shared" si="14"/>
        <v>0</v>
      </c>
      <c r="J189" s="534">
        <f t="shared" si="15"/>
        <v>0</v>
      </c>
      <c r="K189" s="551"/>
      <c r="L189" s="551"/>
      <c r="M189" s="547" t="s">
        <v>228</v>
      </c>
      <c r="N189" s="547" t="s">
        <v>228</v>
      </c>
      <c r="O189" s="548"/>
      <c r="P189" s="549"/>
      <c r="Q189" s="550"/>
      <c r="R189" s="550"/>
      <c r="S189" s="549"/>
      <c r="T189" s="550"/>
      <c r="U189" s="550"/>
      <c r="V189" s="549"/>
      <c r="W189" s="550"/>
      <c r="X189" s="550"/>
      <c r="Y189" s="549"/>
      <c r="Z189" s="550"/>
      <c r="AA189" s="550"/>
      <c r="AB189" s="549"/>
      <c r="AC189" s="550"/>
      <c r="AD189" s="550"/>
      <c r="AE189" s="549"/>
      <c r="AF189" s="550"/>
      <c r="AG189" s="550"/>
      <c r="AH189" s="549"/>
      <c r="AI189" s="550"/>
      <c r="AJ189" s="550"/>
      <c r="AK189" s="549"/>
      <c r="AL189" s="550"/>
      <c r="AM189" s="550"/>
      <c r="AN189" s="549"/>
      <c r="AO189" s="550"/>
      <c r="AP189" s="550"/>
      <c r="AQ189" s="549"/>
      <c r="AR189" s="550"/>
      <c r="AS189" s="550"/>
      <c r="AT189" s="549"/>
      <c r="AU189" s="550"/>
      <c r="AV189" s="550"/>
      <c r="AW189" s="549"/>
      <c r="AX189" s="550"/>
      <c r="AY189" s="550"/>
      <c r="AZ189" s="549"/>
      <c r="BA189" s="550"/>
      <c r="BB189" s="550"/>
      <c r="BC189" s="550"/>
    </row>
    <row r="190" spans="1:55" s="519" customFormat="1">
      <c r="A190" s="531" t="str">
        <f t="shared" si="18"/>
        <v>CP</v>
      </c>
      <c r="B190" s="50" t="str">
        <f t="shared" si="19"/>
        <v>Div12</v>
      </c>
      <c r="C190" s="50" t="s">
        <v>264</v>
      </c>
      <c r="D190" s="532" t="s">
        <v>152</v>
      </c>
      <c r="E190" s="50" t="s">
        <v>52</v>
      </c>
      <c r="F190" s="535">
        <f>R.12OCEImpName2</f>
        <v>0</v>
      </c>
      <c r="G190" s="543">
        <f>R.12OCEImpHrs2</f>
        <v>0</v>
      </c>
      <c r="H190" s="544">
        <f>Table3[[#This Row],[Hrs Rank]]</f>
        <v>0</v>
      </c>
      <c r="I190" s="534">
        <f t="shared" si="14"/>
        <v>0</v>
      </c>
      <c r="J190" s="534">
        <f t="shared" si="15"/>
        <v>0</v>
      </c>
      <c r="K190" s="551"/>
      <c r="L190" s="551"/>
      <c r="M190" s="547" t="s">
        <v>228</v>
      </c>
      <c r="N190" s="547" t="s">
        <v>228</v>
      </c>
      <c r="O190" s="548"/>
      <c r="P190" s="549"/>
      <c r="Q190" s="550"/>
      <c r="R190" s="550"/>
      <c r="S190" s="549"/>
      <c r="T190" s="550"/>
      <c r="U190" s="550"/>
      <c r="V190" s="549"/>
      <c r="W190" s="550"/>
      <c r="X190" s="550"/>
      <c r="Y190" s="549"/>
      <c r="Z190" s="550"/>
      <c r="AA190" s="550"/>
      <c r="AB190" s="549"/>
      <c r="AC190" s="550"/>
      <c r="AD190" s="550"/>
      <c r="AE190" s="549"/>
      <c r="AF190" s="550"/>
      <c r="AG190" s="550"/>
      <c r="AH190" s="549"/>
      <c r="AI190" s="550"/>
      <c r="AJ190" s="550"/>
      <c r="AK190" s="549"/>
      <c r="AL190" s="550"/>
      <c r="AM190" s="550"/>
      <c r="AN190" s="549"/>
      <c r="AO190" s="550"/>
      <c r="AP190" s="550"/>
      <c r="AQ190" s="549"/>
      <c r="AR190" s="550"/>
      <c r="AS190" s="550"/>
      <c r="AT190" s="549"/>
      <c r="AU190" s="550"/>
      <c r="AV190" s="550"/>
      <c r="AW190" s="549"/>
      <c r="AX190" s="550"/>
      <c r="AY190" s="550"/>
      <c r="AZ190" s="549"/>
      <c r="BA190" s="550"/>
      <c r="BB190" s="550"/>
      <c r="BC190" s="550"/>
    </row>
    <row r="191" spans="1:55" s="519" customFormat="1">
      <c r="A191" s="531" t="str">
        <f t="shared" ref="A191:A222" si="20">R.1Division</f>
        <v>CP</v>
      </c>
      <c r="B191" s="50" t="str">
        <f t="shared" ref="B191:B222" si="21">R.1CodeName</f>
        <v>Div12</v>
      </c>
      <c r="C191" s="50" t="s">
        <v>264</v>
      </c>
      <c r="D191" s="532" t="s">
        <v>152</v>
      </c>
      <c r="E191" s="50" t="s">
        <v>52</v>
      </c>
      <c r="F191" s="535" t="str">
        <f>R.12OCEImpName3</f>
        <v xml:space="preserve"> </v>
      </c>
      <c r="G191" s="543">
        <f>R.12OCEImpHrs3</f>
        <v>0</v>
      </c>
      <c r="H191" s="544">
        <f>Table3[[#This Row],[Hrs Rank]]</f>
        <v>0</v>
      </c>
      <c r="I191" s="534">
        <f t="shared" si="14"/>
        <v>0</v>
      </c>
      <c r="J191" s="534">
        <f t="shared" si="15"/>
        <v>0</v>
      </c>
      <c r="K191" s="551"/>
      <c r="L191" s="551"/>
      <c r="M191" s="547" t="s">
        <v>228</v>
      </c>
      <c r="N191" s="547" t="s">
        <v>228</v>
      </c>
      <c r="O191" s="548"/>
      <c r="P191" s="549"/>
      <c r="Q191" s="550"/>
      <c r="R191" s="550"/>
      <c r="S191" s="549"/>
      <c r="T191" s="550"/>
      <c r="U191" s="550"/>
      <c r="V191" s="549"/>
      <c r="W191" s="550"/>
      <c r="X191" s="550"/>
      <c r="Y191" s="549"/>
      <c r="Z191" s="550"/>
      <c r="AA191" s="550"/>
      <c r="AB191" s="549"/>
      <c r="AC191" s="550"/>
      <c r="AD191" s="550"/>
      <c r="AE191" s="549"/>
      <c r="AF191" s="550"/>
      <c r="AG191" s="550"/>
      <c r="AH191" s="549"/>
      <c r="AI191" s="550"/>
      <c r="AJ191" s="550"/>
      <c r="AK191" s="549"/>
      <c r="AL191" s="550"/>
      <c r="AM191" s="550"/>
      <c r="AN191" s="549"/>
      <c r="AO191" s="550"/>
      <c r="AP191" s="550"/>
      <c r="AQ191" s="549"/>
      <c r="AR191" s="550"/>
      <c r="AS191" s="550"/>
      <c r="AT191" s="549"/>
      <c r="AU191" s="550"/>
      <c r="AV191" s="550"/>
      <c r="AW191" s="549"/>
      <c r="AX191" s="550"/>
      <c r="AY191" s="550"/>
      <c r="AZ191" s="549"/>
      <c r="BA191" s="550"/>
      <c r="BB191" s="550"/>
      <c r="BC191" s="550"/>
    </row>
    <row r="192" spans="1:55" s="519" customFormat="1">
      <c r="A192" s="531" t="str">
        <f t="shared" si="20"/>
        <v>CP</v>
      </c>
      <c r="B192" s="50" t="str">
        <f t="shared" si="21"/>
        <v>Div12</v>
      </c>
      <c r="C192" s="50" t="s">
        <v>264</v>
      </c>
      <c r="D192" s="532" t="s">
        <v>152</v>
      </c>
      <c r="E192" s="50" t="s">
        <v>52</v>
      </c>
      <c r="F192" s="535" t="str">
        <f>R.12OCEImpName4</f>
        <v xml:space="preserve"> </v>
      </c>
      <c r="G192" s="543">
        <f>R.12OCEImpHrs4</f>
        <v>0</v>
      </c>
      <c r="H192" s="544">
        <f>Table3[[#This Row],[Hrs Rank]]</f>
        <v>0</v>
      </c>
      <c r="I192" s="534">
        <f t="shared" si="14"/>
        <v>0</v>
      </c>
      <c r="J192" s="534">
        <f t="shared" si="15"/>
        <v>0</v>
      </c>
      <c r="K192" s="551"/>
      <c r="L192" s="551"/>
      <c r="M192" s="547" t="s">
        <v>228</v>
      </c>
      <c r="N192" s="547" t="s">
        <v>228</v>
      </c>
      <c r="O192" s="548"/>
      <c r="P192" s="549"/>
      <c r="Q192" s="550"/>
      <c r="R192" s="550"/>
      <c r="S192" s="549"/>
      <c r="T192" s="550"/>
      <c r="U192" s="550"/>
      <c r="V192" s="549"/>
      <c r="W192" s="550"/>
      <c r="X192" s="550"/>
      <c r="Y192" s="549"/>
      <c r="Z192" s="550"/>
      <c r="AA192" s="550"/>
      <c r="AB192" s="549"/>
      <c r="AC192" s="550"/>
      <c r="AD192" s="550"/>
      <c r="AE192" s="549"/>
      <c r="AF192" s="550"/>
      <c r="AG192" s="550"/>
      <c r="AH192" s="549"/>
      <c r="AI192" s="550"/>
      <c r="AJ192" s="550"/>
      <c r="AK192" s="549"/>
      <c r="AL192" s="550"/>
      <c r="AM192" s="550"/>
      <c r="AN192" s="549"/>
      <c r="AO192" s="550"/>
      <c r="AP192" s="550"/>
      <c r="AQ192" s="549"/>
      <c r="AR192" s="550"/>
      <c r="AS192" s="550"/>
      <c r="AT192" s="549"/>
      <c r="AU192" s="550"/>
      <c r="AV192" s="550"/>
      <c r="AW192" s="549"/>
      <c r="AX192" s="550"/>
      <c r="AY192" s="550"/>
      <c r="AZ192" s="549"/>
      <c r="BA192" s="550"/>
      <c r="BB192" s="550"/>
      <c r="BC192" s="550"/>
    </row>
    <row r="193" spans="1:55" s="519" customFormat="1">
      <c r="A193" s="531" t="str">
        <f t="shared" si="20"/>
        <v>CP</v>
      </c>
      <c r="B193" s="50" t="str">
        <f t="shared" si="21"/>
        <v>Div12</v>
      </c>
      <c r="C193" s="50" t="s">
        <v>265</v>
      </c>
      <c r="D193" s="532" t="s">
        <v>128</v>
      </c>
      <c r="E193" s="50" t="s">
        <v>53</v>
      </c>
      <c r="F193" s="535">
        <f>R.13MonitorDevName1</f>
        <v>0</v>
      </c>
      <c r="G193" s="543">
        <f>R.13MonitorDevHrs1</f>
        <v>0</v>
      </c>
      <c r="H193" s="544">
        <f>Table3[[#This Row],[Hrs Rank]]</f>
        <v>0</v>
      </c>
      <c r="I193" s="534">
        <f t="shared" si="14"/>
        <v>0</v>
      </c>
      <c r="J193" s="534">
        <f t="shared" si="15"/>
        <v>0</v>
      </c>
      <c r="K193" s="551"/>
      <c r="L193" s="551"/>
      <c r="M193" s="547" t="s">
        <v>228</v>
      </c>
      <c r="N193" s="547" t="s">
        <v>228</v>
      </c>
      <c r="O193" s="548"/>
      <c r="P193" s="549"/>
      <c r="Q193" s="550"/>
      <c r="R193" s="550"/>
      <c r="S193" s="549"/>
      <c r="T193" s="550"/>
      <c r="U193" s="550"/>
      <c r="V193" s="549"/>
      <c r="W193" s="550"/>
      <c r="X193" s="550"/>
      <c r="Y193" s="549"/>
      <c r="Z193" s="550"/>
      <c r="AA193" s="550"/>
      <c r="AB193" s="549"/>
      <c r="AC193" s="550"/>
      <c r="AD193" s="550"/>
      <c r="AE193" s="549"/>
      <c r="AF193" s="550"/>
      <c r="AG193" s="550"/>
      <c r="AH193" s="549"/>
      <c r="AI193" s="550"/>
      <c r="AJ193" s="550"/>
      <c r="AK193" s="549"/>
      <c r="AL193" s="550"/>
      <c r="AM193" s="550"/>
      <c r="AN193" s="549"/>
      <c r="AO193" s="550"/>
      <c r="AP193" s="550"/>
      <c r="AQ193" s="549"/>
      <c r="AR193" s="550"/>
      <c r="AS193" s="550"/>
      <c r="AT193" s="549"/>
      <c r="AU193" s="550"/>
      <c r="AV193" s="550"/>
      <c r="AW193" s="549"/>
      <c r="AX193" s="550"/>
      <c r="AY193" s="550"/>
      <c r="AZ193" s="549"/>
      <c r="BA193" s="550"/>
      <c r="BB193" s="550"/>
      <c r="BC193" s="550"/>
    </row>
    <row r="194" spans="1:55" s="519" customFormat="1">
      <c r="A194" s="531" t="str">
        <f t="shared" si="20"/>
        <v>CP</v>
      </c>
      <c r="B194" s="50" t="str">
        <f t="shared" si="21"/>
        <v>Div12</v>
      </c>
      <c r="C194" s="50" t="s">
        <v>265</v>
      </c>
      <c r="D194" s="532" t="s">
        <v>128</v>
      </c>
      <c r="E194" s="50" t="s">
        <v>53</v>
      </c>
      <c r="F194" s="535">
        <f>R.13MonitorDevName2</f>
        <v>0</v>
      </c>
      <c r="G194" s="543">
        <f>R.13MonitorDevHrs2</f>
        <v>0</v>
      </c>
      <c r="H194" s="544">
        <f>Table3[[#This Row],[Hrs Rank]]</f>
        <v>0</v>
      </c>
      <c r="I194" s="534">
        <f t="shared" si="14"/>
        <v>0</v>
      </c>
      <c r="J194" s="534">
        <f t="shared" si="15"/>
        <v>0</v>
      </c>
      <c r="K194" s="551"/>
      <c r="L194" s="551"/>
      <c r="M194" s="547" t="s">
        <v>228</v>
      </c>
      <c r="N194" s="547" t="s">
        <v>228</v>
      </c>
      <c r="O194" s="548"/>
      <c r="P194" s="549"/>
      <c r="Q194" s="550"/>
      <c r="R194" s="550"/>
      <c r="S194" s="549"/>
      <c r="T194" s="550"/>
      <c r="U194" s="550"/>
      <c r="V194" s="549"/>
      <c r="W194" s="550"/>
      <c r="X194" s="550"/>
      <c r="Y194" s="549"/>
      <c r="Z194" s="550"/>
      <c r="AA194" s="550"/>
      <c r="AB194" s="549"/>
      <c r="AC194" s="550"/>
      <c r="AD194" s="550"/>
      <c r="AE194" s="549"/>
      <c r="AF194" s="550"/>
      <c r="AG194" s="550"/>
      <c r="AH194" s="549"/>
      <c r="AI194" s="550"/>
      <c r="AJ194" s="550"/>
      <c r="AK194" s="549"/>
      <c r="AL194" s="550"/>
      <c r="AM194" s="550"/>
      <c r="AN194" s="549"/>
      <c r="AO194" s="550"/>
      <c r="AP194" s="550"/>
      <c r="AQ194" s="549"/>
      <c r="AR194" s="550"/>
      <c r="AS194" s="550"/>
      <c r="AT194" s="549"/>
      <c r="AU194" s="550"/>
      <c r="AV194" s="550"/>
      <c r="AW194" s="549"/>
      <c r="AX194" s="550"/>
      <c r="AY194" s="550"/>
      <c r="AZ194" s="549"/>
      <c r="BA194" s="550"/>
      <c r="BB194" s="550"/>
      <c r="BC194" s="550"/>
    </row>
    <row r="195" spans="1:55" s="519" customFormat="1">
      <c r="A195" s="531" t="str">
        <f t="shared" si="20"/>
        <v>CP</v>
      </c>
      <c r="B195" s="50" t="str">
        <f t="shared" si="21"/>
        <v>Div12</v>
      </c>
      <c r="C195" s="50" t="s">
        <v>265</v>
      </c>
      <c r="D195" s="532" t="s">
        <v>128</v>
      </c>
      <c r="E195" s="50" t="s">
        <v>53</v>
      </c>
      <c r="F195" s="535">
        <f>R.13MonitorDevName3</f>
        <v>0</v>
      </c>
      <c r="G195" s="543">
        <f>R.13MonitorDevHrs3</f>
        <v>0</v>
      </c>
      <c r="H195" s="544">
        <f>Table3[[#This Row],[Hrs Rank]]</f>
        <v>0</v>
      </c>
      <c r="I195" s="534">
        <f t="shared" ref="I195:I258" si="22">IF(ISNA(VLOOKUP($H195,R.VL_DEQResourceHours,2,FALSE)),0,VLOOKUP($H195,R.VL_DEQResourceHours,2,FALSE))</f>
        <v>0</v>
      </c>
      <c r="J195" s="534">
        <f t="shared" ref="J195:J258" si="23">IF(ISNA(VLOOKUP($H195,R.VL_DEQResourceHours,3,FALSE)),0,VLOOKUP($H195,R.VL_DEQResourceHours,3,FALSE))</f>
        <v>0</v>
      </c>
      <c r="K195" s="551"/>
      <c r="L195" s="551"/>
      <c r="M195" s="547" t="s">
        <v>228</v>
      </c>
      <c r="N195" s="547" t="s">
        <v>228</v>
      </c>
      <c r="O195" s="548"/>
      <c r="P195" s="549"/>
      <c r="Q195" s="550"/>
      <c r="R195" s="550"/>
      <c r="S195" s="549"/>
      <c r="T195" s="550"/>
      <c r="U195" s="550"/>
      <c r="V195" s="549"/>
      <c r="W195" s="550"/>
      <c r="X195" s="550"/>
      <c r="Y195" s="549"/>
      <c r="Z195" s="550"/>
      <c r="AA195" s="550"/>
      <c r="AB195" s="549"/>
      <c r="AC195" s="550"/>
      <c r="AD195" s="550"/>
      <c r="AE195" s="549"/>
      <c r="AF195" s="550"/>
      <c r="AG195" s="550"/>
      <c r="AH195" s="549"/>
      <c r="AI195" s="550"/>
      <c r="AJ195" s="550"/>
      <c r="AK195" s="549"/>
      <c r="AL195" s="550"/>
      <c r="AM195" s="550"/>
      <c r="AN195" s="549"/>
      <c r="AO195" s="550"/>
      <c r="AP195" s="550"/>
      <c r="AQ195" s="549"/>
      <c r="AR195" s="550"/>
      <c r="AS195" s="550"/>
      <c r="AT195" s="549"/>
      <c r="AU195" s="550"/>
      <c r="AV195" s="550"/>
      <c r="AW195" s="549"/>
      <c r="AX195" s="550"/>
      <c r="AY195" s="550"/>
      <c r="AZ195" s="549"/>
      <c r="BA195" s="550"/>
      <c r="BB195" s="550"/>
      <c r="BC195" s="550"/>
    </row>
    <row r="196" spans="1:55" s="519" customFormat="1">
      <c r="A196" s="531" t="str">
        <f t="shared" si="20"/>
        <v>CP</v>
      </c>
      <c r="B196" s="50" t="str">
        <f t="shared" si="21"/>
        <v>Div12</v>
      </c>
      <c r="C196" s="50" t="s">
        <v>265</v>
      </c>
      <c r="D196" s="532" t="s">
        <v>128</v>
      </c>
      <c r="E196" s="50" t="s">
        <v>53</v>
      </c>
      <c r="F196" s="535" t="str">
        <f>R.13MonitorDevName4</f>
        <v xml:space="preserve"> </v>
      </c>
      <c r="G196" s="543">
        <f>R.13MonitorDevHrs4</f>
        <v>0</v>
      </c>
      <c r="H196" s="544">
        <f>Table3[[#This Row],[Hrs Rank]]</f>
        <v>0</v>
      </c>
      <c r="I196" s="534">
        <f t="shared" si="22"/>
        <v>0</v>
      </c>
      <c r="J196" s="534">
        <f t="shared" si="23"/>
        <v>0</v>
      </c>
      <c r="K196" s="551"/>
      <c r="L196" s="551"/>
      <c r="M196" s="547" t="s">
        <v>228</v>
      </c>
      <c r="N196" s="547" t="s">
        <v>228</v>
      </c>
      <c r="O196" s="548"/>
      <c r="P196" s="549"/>
      <c r="Q196" s="550"/>
      <c r="R196" s="550"/>
      <c r="S196" s="549"/>
      <c r="T196" s="550"/>
      <c r="U196" s="550"/>
      <c r="V196" s="549"/>
      <c r="W196" s="550"/>
      <c r="X196" s="550"/>
      <c r="Y196" s="549"/>
      <c r="Z196" s="550"/>
      <c r="AA196" s="550"/>
      <c r="AB196" s="549"/>
      <c r="AC196" s="550"/>
      <c r="AD196" s="550"/>
      <c r="AE196" s="549"/>
      <c r="AF196" s="550"/>
      <c r="AG196" s="550"/>
      <c r="AH196" s="549"/>
      <c r="AI196" s="550"/>
      <c r="AJ196" s="550"/>
      <c r="AK196" s="549"/>
      <c r="AL196" s="550"/>
      <c r="AM196" s="550"/>
      <c r="AN196" s="549"/>
      <c r="AO196" s="550"/>
      <c r="AP196" s="550"/>
      <c r="AQ196" s="549"/>
      <c r="AR196" s="550"/>
      <c r="AS196" s="550"/>
      <c r="AT196" s="549"/>
      <c r="AU196" s="550"/>
      <c r="AV196" s="550"/>
      <c r="AW196" s="549"/>
      <c r="AX196" s="550"/>
      <c r="AY196" s="550"/>
      <c r="AZ196" s="549"/>
      <c r="BA196" s="550"/>
      <c r="BB196" s="550"/>
      <c r="BC196" s="550"/>
    </row>
    <row r="197" spans="1:55" s="519" customFormat="1">
      <c r="A197" s="531" t="str">
        <f t="shared" si="20"/>
        <v>CP</v>
      </c>
      <c r="B197" s="50" t="str">
        <f t="shared" si="21"/>
        <v>Div12</v>
      </c>
      <c r="C197" s="50" t="s">
        <v>265</v>
      </c>
      <c r="D197" s="532" t="s">
        <v>128</v>
      </c>
      <c r="E197" s="50" t="s">
        <v>52</v>
      </c>
      <c r="F197" s="535">
        <f>R.13MonitorImpName1</f>
        <v>0</v>
      </c>
      <c r="G197" s="543">
        <f>R.13MonitorImpHrs1</f>
        <v>0</v>
      </c>
      <c r="H197" s="544">
        <f>Table3[[#This Row],[Hrs Rank]]</f>
        <v>0</v>
      </c>
      <c r="I197" s="534">
        <f t="shared" si="22"/>
        <v>0</v>
      </c>
      <c r="J197" s="534">
        <f t="shared" si="23"/>
        <v>0</v>
      </c>
      <c r="K197" s="551"/>
      <c r="L197" s="551"/>
      <c r="M197" s="547" t="s">
        <v>228</v>
      </c>
      <c r="N197" s="547" t="s">
        <v>228</v>
      </c>
      <c r="O197" s="548"/>
      <c r="P197" s="549"/>
      <c r="Q197" s="550"/>
      <c r="R197" s="550"/>
      <c r="S197" s="549"/>
      <c r="T197" s="550"/>
      <c r="U197" s="550"/>
      <c r="V197" s="549"/>
      <c r="W197" s="550"/>
      <c r="X197" s="550"/>
      <c r="Y197" s="549"/>
      <c r="Z197" s="550"/>
      <c r="AA197" s="550"/>
      <c r="AB197" s="549"/>
      <c r="AC197" s="550"/>
      <c r="AD197" s="550"/>
      <c r="AE197" s="549"/>
      <c r="AF197" s="550"/>
      <c r="AG197" s="550"/>
      <c r="AH197" s="549"/>
      <c r="AI197" s="550"/>
      <c r="AJ197" s="550"/>
      <c r="AK197" s="549"/>
      <c r="AL197" s="550"/>
      <c r="AM197" s="550"/>
      <c r="AN197" s="549"/>
      <c r="AO197" s="550"/>
      <c r="AP197" s="550"/>
      <c r="AQ197" s="549"/>
      <c r="AR197" s="550"/>
      <c r="AS197" s="550"/>
      <c r="AT197" s="549"/>
      <c r="AU197" s="550"/>
      <c r="AV197" s="550"/>
      <c r="AW197" s="549"/>
      <c r="AX197" s="550"/>
      <c r="AY197" s="550"/>
      <c r="AZ197" s="549"/>
      <c r="BA197" s="550"/>
      <c r="BB197" s="550"/>
      <c r="BC197" s="550"/>
    </row>
    <row r="198" spans="1:55" s="519" customFormat="1">
      <c r="A198" s="531" t="str">
        <f t="shared" si="20"/>
        <v>CP</v>
      </c>
      <c r="B198" s="50" t="str">
        <f t="shared" si="21"/>
        <v>Div12</v>
      </c>
      <c r="C198" s="50" t="s">
        <v>265</v>
      </c>
      <c r="D198" s="532" t="s">
        <v>128</v>
      </c>
      <c r="E198" s="50" t="s">
        <v>52</v>
      </c>
      <c r="F198" s="535" t="str">
        <f>R.13MonitorImpName2</f>
        <v xml:space="preserve"> </v>
      </c>
      <c r="G198" s="543">
        <f>R.13MonitorImpHrs2</f>
        <v>0</v>
      </c>
      <c r="H198" s="544">
        <f>Table3[[#This Row],[Hrs Rank]]</f>
        <v>0</v>
      </c>
      <c r="I198" s="534">
        <f t="shared" si="22"/>
        <v>0</v>
      </c>
      <c r="J198" s="534">
        <f t="shared" si="23"/>
        <v>0</v>
      </c>
      <c r="K198" s="551"/>
      <c r="L198" s="551"/>
      <c r="M198" s="547" t="s">
        <v>228</v>
      </c>
      <c r="N198" s="547" t="s">
        <v>228</v>
      </c>
      <c r="O198" s="548"/>
      <c r="P198" s="549"/>
      <c r="Q198" s="550"/>
      <c r="R198" s="550"/>
      <c r="S198" s="549"/>
      <c r="T198" s="550"/>
      <c r="U198" s="550"/>
      <c r="V198" s="549"/>
      <c r="W198" s="550"/>
      <c r="X198" s="550"/>
      <c r="Y198" s="549"/>
      <c r="Z198" s="550"/>
      <c r="AA198" s="550"/>
      <c r="AB198" s="549"/>
      <c r="AC198" s="550"/>
      <c r="AD198" s="550"/>
      <c r="AE198" s="549"/>
      <c r="AF198" s="550"/>
      <c r="AG198" s="550"/>
      <c r="AH198" s="549"/>
      <c r="AI198" s="550"/>
      <c r="AJ198" s="550"/>
      <c r="AK198" s="549"/>
      <c r="AL198" s="550"/>
      <c r="AM198" s="550"/>
      <c r="AN198" s="549"/>
      <c r="AO198" s="550"/>
      <c r="AP198" s="550"/>
      <c r="AQ198" s="549"/>
      <c r="AR198" s="550"/>
      <c r="AS198" s="550"/>
      <c r="AT198" s="549"/>
      <c r="AU198" s="550"/>
      <c r="AV198" s="550"/>
      <c r="AW198" s="549"/>
      <c r="AX198" s="550"/>
      <c r="AY198" s="550"/>
      <c r="AZ198" s="549"/>
      <c r="BA198" s="550"/>
      <c r="BB198" s="550"/>
      <c r="BC198" s="550"/>
    </row>
    <row r="199" spans="1:55" s="519" customFormat="1">
      <c r="A199" s="531" t="str">
        <f t="shared" si="20"/>
        <v>CP</v>
      </c>
      <c r="B199" s="50" t="str">
        <f t="shared" si="21"/>
        <v>Div12</v>
      </c>
      <c r="C199" s="50" t="s">
        <v>265</v>
      </c>
      <c r="D199" s="532" t="s">
        <v>128</v>
      </c>
      <c r="E199" s="50" t="s">
        <v>52</v>
      </c>
      <c r="F199" s="535" t="str">
        <f>R.13MonitorImpName3</f>
        <v xml:space="preserve"> </v>
      </c>
      <c r="G199" s="543">
        <f>R.13MonitorImpHrs3</f>
        <v>0</v>
      </c>
      <c r="H199" s="544">
        <f>Table3[[#This Row],[Hrs Rank]]</f>
        <v>0</v>
      </c>
      <c r="I199" s="534">
        <f t="shared" si="22"/>
        <v>0</v>
      </c>
      <c r="J199" s="534">
        <f t="shared" si="23"/>
        <v>0</v>
      </c>
      <c r="K199" s="551"/>
      <c r="L199" s="551"/>
      <c r="M199" s="547" t="s">
        <v>228</v>
      </c>
      <c r="N199" s="547" t="s">
        <v>228</v>
      </c>
      <c r="O199" s="548"/>
      <c r="P199" s="549"/>
      <c r="Q199" s="550"/>
      <c r="R199" s="550"/>
      <c r="S199" s="549"/>
      <c r="T199" s="550"/>
      <c r="U199" s="550"/>
      <c r="V199" s="549"/>
      <c r="W199" s="550"/>
      <c r="X199" s="550"/>
      <c r="Y199" s="549"/>
      <c r="Z199" s="550"/>
      <c r="AA199" s="550"/>
      <c r="AB199" s="549"/>
      <c r="AC199" s="550"/>
      <c r="AD199" s="550"/>
      <c r="AE199" s="549"/>
      <c r="AF199" s="550"/>
      <c r="AG199" s="550"/>
      <c r="AH199" s="549"/>
      <c r="AI199" s="550"/>
      <c r="AJ199" s="550"/>
      <c r="AK199" s="549"/>
      <c r="AL199" s="550"/>
      <c r="AM199" s="550"/>
      <c r="AN199" s="549"/>
      <c r="AO199" s="550"/>
      <c r="AP199" s="550"/>
      <c r="AQ199" s="549"/>
      <c r="AR199" s="550"/>
      <c r="AS199" s="550"/>
      <c r="AT199" s="549"/>
      <c r="AU199" s="550"/>
      <c r="AV199" s="550"/>
      <c r="AW199" s="549"/>
      <c r="AX199" s="550"/>
      <c r="AY199" s="550"/>
      <c r="AZ199" s="549"/>
      <c r="BA199" s="550"/>
      <c r="BB199" s="550"/>
      <c r="BC199" s="550"/>
    </row>
    <row r="200" spans="1:55" s="519" customFormat="1">
      <c r="A200" s="531" t="str">
        <f t="shared" si="20"/>
        <v>CP</v>
      </c>
      <c r="B200" s="50" t="str">
        <f t="shared" si="21"/>
        <v>Div12</v>
      </c>
      <c r="C200" s="50" t="s">
        <v>265</v>
      </c>
      <c r="D200" s="532" t="s">
        <v>128</v>
      </c>
      <c r="E200" s="50" t="s">
        <v>52</v>
      </c>
      <c r="F200" s="535" t="str">
        <f>R.13MonitorImpName4</f>
        <v xml:space="preserve"> </v>
      </c>
      <c r="G200" s="543">
        <f>R.13MonitorImpHrs4</f>
        <v>0</v>
      </c>
      <c r="H200" s="544">
        <f>Table3[[#This Row],[Hrs Rank]]</f>
        <v>0</v>
      </c>
      <c r="I200" s="534">
        <f t="shared" si="22"/>
        <v>0</v>
      </c>
      <c r="J200" s="534">
        <f t="shared" si="23"/>
        <v>0</v>
      </c>
      <c r="K200" s="551"/>
      <c r="L200" s="551"/>
      <c r="M200" s="547" t="s">
        <v>228</v>
      </c>
      <c r="N200" s="547" t="s">
        <v>228</v>
      </c>
      <c r="O200" s="548"/>
      <c r="P200" s="549"/>
      <c r="Q200" s="550"/>
      <c r="R200" s="550"/>
      <c r="S200" s="549"/>
      <c r="T200" s="550"/>
      <c r="U200" s="550"/>
      <c r="V200" s="549"/>
      <c r="W200" s="550"/>
      <c r="X200" s="550"/>
      <c r="Y200" s="549"/>
      <c r="Z200" s="550"/>
      <c r="AA200" s="550"/>
      <c r="AB200" s="549"/>
      <c r="AC200" s="550"/>
      <c r="AD200" s="550"/>
      <c r="AE200" s="549"/>
      <c r="AF200" s="550"/>
      <c r="AG200" s="550"/>
      <c r="AH200" s="549"/>
      <c r="AI200" s="550"/>
      <c r="AJ200" s="550"/>
      <c r="AK200" s="549"/>
      <c r="AL200" s="550"/>
      <c r="AM200" s="550"/>
      <c r="AN200" s="549"/>
      <c r="AO200" s="550"/>
      <c r="AP200" s="550"/>
      <c r="AQ200" s="549"/>
      <c r="AR200" s="550"/>
      <c r="AS200" s="550"/>
      <c r="AT200" s="549"/>
      <c r="AU200" s="550"/>
      <c r="AV200" s="550"/>
      <c r="AW200" s="549"/>
      <c r="AX200" s="550"/>
      <c r="AY200" s="550"/>
      <c r="AZ200" s="549"/>
      <c r="BA200" s="550"/>
      <c r="BB200" s="550"/>
      <c r="BC200" s="550"/>
    </row>
    <row r="201" spans="1:55" s="519" customFormat="1">
      <c r="A201" s="531" t="str">
        <f t="shared" si="20"/>
        <v>CP</v>
      </c>
      <c r="B201" s="50" t="str">
        <f t="shared" si="21"/>
        <v>Div12</v>
      </c>
      <c r="C201" s="50" t="s">
        <v>265</v>
      </c>
      <c r="D201" s="532" t="s">
        <v>129</v>
      </c>
      <c r="E201" s="50" t="s">
        <v>53</v>
      </c>
      <c r="F201" s="535">
        <f>R.13TestDevName1</f>
        <v>0</v>
      </c>
      <c r="G201" s="543">
        <f>R.13TestDevHrs1</f>
        <v>0</v>
      </c>
      <c r="H201" s="544">
        <f>Table3[[#This Row],[Hrs Rank]]</f>
        <v>0</v>
      </c>
      <c r="I201" s="534">
        <f t="shared" si="22"/>
        <v>0</v>
      </c>
      <c r="J201" s="534">
        <f t="shared" si="23"/>
        <v>0</v>
      </c>
      <c r="K201" s="551"/>
      <c r="L201" s="551"/>
      <c r="M201" s="547" t="s">
        <v>228</v>
      </c>
      <c r="N201" s="547" t="s">
        <v>228</v>
      </c>
      <c r="O201" s="548"/>
      <c r="P201" s="549"/>
      <c r="Q201" s="550"/>
      <c r="R201" s="550"/>
      <c r="S201" s="549"/>
      <c r="T201" s="550"/>
      <c r="U201" s="550"/>
      <c r="V201" s="549"/>
      <c r="W201" s="550"/>
      <c r="X201" s="550"/>
      <c r="Y201" s="549"/>
      <c r="Z201" s="550"/>
      <c r="AA201" s="550"/>
      <c r="AB201" s="549"/>
      <c r="AC201" s="550"/>
      <c r="AD201" s="550"/>
      <c r="AE201" s="549"/>
      <c r="AF201" s="550"/>
      <c r="AG201" s="550"/>
      <c r="AH201" s="549"/>
      <c r="AI201" s="550"/>
      <c r="AJ201" s="550"/>
      <c r="AK201" s="549"/>
      <c r="AL201" s="550"/>
      <c r="AM201" s="550"/>
      <c r="AN201" s="549"/>
      <c r="AO201" s="550"/>
      <c r="AP201" s="550"/>
      <c r="AQ201" s="549"/>
      <c r="AR201" s="550"/>
      <c r="AS201" s="550"/>
      <c r="AT201" s="549"/>
      <c r="AU201" s="550"/>
      <c r="AV201" s="550"/>
      <c r="AW201" s="549"/>
      <c r="AX201" s="550"/>
      <c r="AY201" s="550"/>
      <c r="AZ201" s="549"/>
      <c r="BA201" s="550"/>
      <c r="BB201" s="550"/>
      <c r="BC201" s="550"/>
    </row>
    <row r="202" spans="1:55" s="519" customFormat="1">
      <c r="A202" s="531" t="str">
        <f t="shared" si="20"/>
        <v>CP</v>
      </c>
      <c r="B202" s="50" t="str">
        <f t="shared" si="21"/>
        <v>Div12</v>
      </c>
      <c r="C202" s="50" t="s">
        <v>265</v>
      </c>
      <c r="D202" s="532" t="s">
        <v>129</v>
      </c>
      <c r="E202" s="50" t="s">
        <v>53</v>
      </c>
      <c r="F202" s="535" t="str">
        <f>R.13TestDevName2</f>
        <v xml:space="preserve"> </v>
      </c>
      <c r="G202" s="543">
        <f>R.13TestDevHrs2</f>
        <v>0</v>
      </c>
      <c r="H202" s="544">
        <f>Table3[[#This Row],[Hrs Rank]]</f>
        <v>0</v>
      </c>
      <c r="I202" s="534">
        <f t="shared" si="22"/>
        <v>0</v>
      </c>
      <c r="J202" s="534">
        <f t="shared" si="23"/>
        <v>0</v>
      </c>
      <c r="K202" s="551"/>
      <c r="L202" s="551"/>
      <c r="M202" s="547" t="s">
        <v>228</v>
      </c>
      <c r="N202" s="547" t="s">
        <v>228</v>
      </c>
      <c r="O202" s="548"/>
      <c r="P202" s="549"/>
      <c r="Q202" s="550"/>
      <c r="R202" s="550"/>
      <c r="S202" s="549"/>
      <c r="T202" s="550"/>
      <c r="U202" s="550"/>
      <c r="V202" s="549"/>
      <c r="W202" s="550"/>
      <c r="X202" s="550"/>
      <c r="Y202" s="549"/>
      <c r="Z202" s="550"/>
      <c r="AA202" s="550"/>
      <c r="AB202" s="549"/>
      <c r="AC202" s="550"/>
      <c r="AD202" s="550"/>
      <c r="AE202" s="549"/>
      <c r="AF202" s="550"/>
      <c r="AG202" s="550"/>
      <c r="AH202" s="549"/>
      <c r="AI202" s="550"/>
      <c r="AJ202" s="550"/>
      <c r="AK202" s="549"/>
      <c r="AL202" s="550"/>
      <c r="AM202" s="550"/>
      <c r="AN202" s="549"/>
      <c r="AO202" s="550"/>
      <c r="AP202" s="550"/>
      <c r="AQ202" s="549"/>
      <c r="AR202" s="550"/>
      <c r="AS202" s="550"/>
      <c r="AT202" s="549"/>
      <c r="AU202" s="550"/>
      <c r="AV202" s="550"/>
      <c r="AW202" s="549"/>
      <c r="AX202" s="550"/>
      <c r="AY202" s="550"/>
      <c r="AZ202" s="549"/>
      <c r="BA202" s="550"/>
      <c r="BB202" s="550"/>
      <c r="BC202" s="550"/>
    </row>
    <row r="203" spans="1:55" s="519" customFormat="1">
      <c r="A203" s="531" t="str">
        <f t="shared" si="20"/>
        <v>CP</v>
      </c>
      <c r="B203" s="50" t="str">
        <f t="shared" si="21"/>
        <v>Div12</v>
      </c>
      <c r="C203" s="50" t="s">
        <v>265</v>
      </c>
      <c r="D203" s="532" t="s">
        <v>129</v>
      </c>
      <c r="E203" s="50" t="s">
        <v>53</v>
      </c>
      <c r="F203" s="535" t="str">
        <f>R.13TestDevName3</f>
        <v xml:space="preserve"> </v>
      </c>
      <c r="G203" s="543">
        <f>R.13TestDevHrs3</f>
        <v>0</v>
      </c>
      <c r="H203" s="544">
        <f>Table3[[#This Row],[Hrs Rank]]</f>
        <v>0</v>
      </c>
      <c r="I203" s="534">
        <f t="shared" si="22"/>
        <v>0</v>
      </c>
      <c r="J203" s="534">
        <f t="shared" si="23"/>
        <v>0</v>
      </c>
      <c r="K203" s="551"/>
      <c r="L203" s="551"/>
      <c r="M203" s="547" t="s">
        <v>228</v>
      </c>
      <c r="N203" s="547" t="s">
        <v>228</v>
      </c>
      <c r="O203" s="548"/>
      <c r="P203" s="549"/>
      <c r="Q203" s="550"/>
      <c r="R203" s="550"/>
      <c r="S203" s="549"/>
      <c r="T203" s="550"/>
      <c r="U203" s="550"/>
      <c r="V203" s="549"/>
      <c r="W203" s="550"/>
      <c r="X203" s="550"/>
      <c r="Y203" s="549"/>
      <c r="Z203" s="550"/>
      <c r="AA203" s="550"/>
      <c r="AB203" s="549"/>
      <c r="AC203" s="550"/>
      <c r="AD203" s="550"/>
      <c r="AE203" s="549"/>
      <c r="AF203" s="550"/>
      <c r="AG203" s="550"/>
      <c r="AH203" s="549"/>
      <c r="AI203" s="550"/>
      <c r="AJ203" s="550"/>
      <c r="AK203" s="549"/>
      <c r="AL203" s="550"/>
      <c r="AM203" s="550"/>
      <c r="AN203" s="549"/>
      <c r="AO203" s="550"/>
      <c r="AP203" s="550"/>
      <c r="AQ203" s="549"/>
      <c r="AR203" s="550"/>
      <c r="AS203" s="550"/>
      <c r="AT203" s="549"/>
      <c r="AU203" s="550"/>
      <c r="AV203" s="550"/>
      <c r="AW203" s="549"/>
      <c r="AX203" s="550"/>
      <c r="AY203" s="550"/>
      <c r="AZ203" s="549"/>
      <c r="BA203" s="550"/>
      <c r="BB203" s="550"/>
      <c r="BC203" s="550"/>
    </row>
    <row r="204" spans="1:55" s="519" customFormat="1">
      <c r="A204" s="531" t="str">
        <f t="shared" si="20"/>
        <v>CP</v>
      </c>
      <c r="B204" s="50" t="str">
        <f t="shared" si="21"/>
        <v>Div12</v>
      </c>
      <c r="C204" s="50" t="s">
        <v>265</v>
      </c>
      <c r="D204" s="532" t="s">
        <v>129</v>
      </c>
      <c r="E204" s="50" t="s">
        <v>53</v>
      </c>
      <c r="F204" s="535" t="str">
        <f>R.13TestDevName4</f>
        <v xml:space="preserve"> </v>
      </c>
      <c r="G204" s="543">
        <f>R.13TestDevHrs4</f>
        <v>0</v>
      </c>
      <c r="H204" s="544">
        <f>Table3[[#This Row],[Hrs Rank]]</f>
        <v>0</v>
      </c>
      <c r="I204" s="534">
        <f t="shared" si="22"/>
        <v>0</v>
      </c>
      <c r="J204" s="534">
        <f t="shared" si="23"/>
        <v>0</v>
      </c>
      <c r="K204" s="551"/>
      <c r="L204" s="551"/>
      <c r="M204" s="547" t="s">
        <v>228</v>
      </c>
      <c r="N204" s="547" t="s">
        <v>228</v>
      </c>
      <c r="O204" s="548"/>
      <c r="P204" s="549"/>
      <c r="Q204" s="550"/>
      <c r="R204" s="550"/>
      <c r="S204" s="549"/>
      <c r="T204" s="550"/>
      <c r="U204" s="550"/>
      <c r="V204" s="549"/>
      <c r="W204" s="550"/>
      <c r="X204" s="550"/>
      <c r="Y204" s="549"/>
      <c r="Z204" s="550"/>
      <c r="AA204" s="550"/>
      <c r="AB204" s="549"/>
      <c r="AC204" s="550"/>
      <c r="AD204" s="550"/>
      <c r="AE204" s="549"/>
      <c r="AF204" s="550"/>
      <c r="AG204" s="550"/>
      <c r="AH204" s="549"/>
      <c r="AI204" s="550"/>
      <c r="AJ204" s="550"/>
      <c r="AK204" s="549"/>
      <c r="AL204" s="550"/>
      <c r="AM204" s="550"/>
      <c r="AN204" s="549"/>
      <c r="AO204" s="550"/>
      <c r="AP204" s="550"/>
      <c r="AQ204" s="549"/>
      <c r="AR204" s="550"/>
      <c r="AS204" s="550"/>
      <c r="AT204" s="549"/>
      <c r="AU204" s="550"/>
      <c r="AV204" s="550"/>
      <c r="AW204" s="549"/>
      <c r="AX204" s="550"/>
      <c r="AY204" s="550"/>
      <c r="AZ204" s="549"/>
      <c r="BA204" s="550"/>
      <c r="BB204" s="550"/>
      <c r="BC204" s="550"/>
    </row>
    <row r="205" spans="1:55" s="519" customFormat="1">
      <c r="A205" s="531" t="str">
        <f t="shared" si="20"/>
        <v>CP</v>
      </c>
      <c r="B205" s="50" t="str">
        <f t="shared" si="21"/>
        <v>Div12</v>
      </c>
      <c r="C205" s="50" t="s">
        <v>265</v>
      </c>
      <c r="D205" s="532" t="s">
        <v>129</v>
      </c>
      <c r="E205" s="50" t="s">
        <v>52</v>
      </c>
      <c r="F205" s="535">
        <f>R.13TestImpName1</f>
        <v>0</v>
      </c>
      <c r="G205" s="543">
        <f>R.13TestImpHrs1</f>
        <v>0</v>
      </c>
      <c r="H205" s="544">
        <f>Table3[[#This Row],[Hrs Rank]]</f>
        <v>0</v>
      </c>
      <c r="I205" s="534">
        <f t="shared" si="22"/>
        <v>0</v>
      </c>
      <c r="J205" s="534">
        <f t="shared" si="23"/>
        <v>0</v>
      </c>
      <c r="K205" s="551"/>
      <c r="L205" s="551"/>
      <c r="M205" s="547" t="s">
        <v>228</v>
      </c>
      <c r="N205" s="547" t="s">
        <v>228</v>
      </c>
      <c r="O205" s="548"/>
      <c r="P205" s="549"/>
      <c r="Q205" s="550"/>
      <c r="R205" s="550"/>
      <c r="S205" s="549"/>
      <c r="T205" s="550"/>
      <c r="U205" s="550"/>
      <c r="V205" s="549"/>
      <c r="W205" s="550"/>
      <c r="X205" s="550"/>
      <c r="Y205" s="549"/>
      <c r="Z205" s="550"/>
      <c r="AA205" s="550"/>
      <c r="AB205" s="549"/>
      <c r="AC205" s="550"/>
      <c r="AD205" s="550"/>
      <c r="AE205" s="549"/>
      <c r="AF205" s="550"/>
      <c r="AG205" s="550"/>
      <c r="AH205" s="549"/>
      <c r="AI205" s="550"/>
      <c r="AJ205" s="550"/>
      <c r="AK205" s="549"/>
      <c r="AL205" s="550"/>
      <c r="AM205" s="550"/>
      <c r="AN205" s="549"/>
      <c r="AO205" s="550"/>
      <c r="AP205" s="550"/>
      <c r="AQ205" s="549"/>
      <c r="AR205" s="550"/>
      <c r="AS205" s="550"/>
      <c r="AT205" s="549"/>
      <c r="AU205" s="550"/>
      <c r="AV205" s="550"/>
      <c r="AW205" s="549"/>
      <c r="AX205" s="550"/>
      <c r="AY205" s="550"/>
      <c r="AZ205" s="549"/>
      <c r="BA205" s="550"/>
      <c r="BB205" s="550"/>
      <c r="BC205" s="550"/>
    </row>
    <row r="206" spans="1:55" s="519" customFormat="1">
      <c r="A206" s="531" t="str">
        <f t="shared" si="20"/>
        <v>CP</v>
      </c>
      <c r="B206" s="50" t="str">
        <f t="shared" si="21"/>
        <v>Div12</v>
      </c>
      <c r="C206" s="50" t="s">
        <v>265</v>
      </c>
      <c r="D206" s="532" t="s">
        <v>129</v>
      </c>
      <c r="E206" s="50" t="s">
        <v>52</v>
      </c>
      <c r="F206" s="535" t="str">
        <f>R.13TestImpName2</f>
        <v xml:space="preserve"> </v>
      </c>
      <c r="G206" s="543">
        <f>R.13TestImpHrs2</f>
        <v>0</v>
      </c>
      <c r="H206" s="544">
        <f>Table3[[#This Row],[Hrs Rank]]</f>
        <v>0</v>
      </c>
      <c r="I206" s="534">
        <f t="shared" si="22"/>
        <v>0</v>
      </c>
      <c r="J206" s="534">
        <f t="shared" si="23"/>
        <v>0</v>
      </c>
      <c r="K206" s="551"/>
      <c r="L206" s="551"/>
      <c r="M206" s="547" t="s">
        <v>228</v>
      </c>
      <c r="N206" s="547" t="s">
        <v>228</v>
      </c>
      <c r="O206" s="548"/>
      <c r="P206" s="549"/>
      <c r="Q206" s="550"/>
      <c r="R206" s="550"/>
      <c r="S206" s="549"/>
      <c r="T206" s="550"/>
      <c r="U206" s="550"/>
      <c r="V206" s="549"/>
      <c r="W206" s="550"/>
      <c r="X206" s="550"/>
      <c r="Y206" s="549"/>
      <c r="Z206" s="550"/>
      <c r="AA206" s="550"/>
      <c r="AB206" s="549"/>
      <c r="AC206" s="550"/>
      <c r="AD206" s="550"/>
      <c r="AE206" s="549"/>
      <c r="AF206" s="550"/>
      <c r="AG206" s="550"/>
      <c r="AH206" s="549"/>
      <c r="AI206" s="550"/>
      <c r="AJ206" s="550"/>
      <c r="AK206" s="549"/>
      <c r="AL206" s="550"/>
      <c r="AM206" s="550"/>
      <c r="AN206" s="549"/>
      <c r="AO206" s="550"/>
      <c r="AP206" s="550"/>
      <c r="AQ206" s="549"/>
      <c r="AR206" s="550"/>
      <c r="AS206" s="550"/>
      <c r="AT206" s="549"/>
      <c r="AU206" s="550"/>
      <c r="AV206" s="550"/>
      <c r="AW206" s="549"/>
      <c r="AX206" s="550"/>
      <c r="AY206" s="550"/>
      <c r="AZ206" s="549"/>
      <c r="BA206" s="550"/>
      <c r="BB206" s="550"/>
      <c r="BC206" s="550"/>
    </row>
    <row r="207" spans="1:55" s="519" customFormat="1">
      <c r="A207" s="531" t="str">
        <f t="shared" si="20"/>
        <v>CP</v>
      </c>
      <c r="B207" s="50" t="str">
        <f t="shared" si="21"/>
        <v>Div12</v>
      </c>
      <c r="C207" s="50" t="s">
        <v>265</v>
      </c>
      <c r="D207" s="532" t="s">
        <v>129</v>
      </c>
      <c r="E207" s="50" t="s">
        <v>52</v>
      </c>
      <c r="F207" s="535" t="str">
        <f>R.13TestImpName3</f>
        <v xml:space="preserve"> </v>
      </c>
      <c r="G207" s="543">
        <f>R.13TestImpHrs3</f>
        <v>0</v>
      </c>
      <c r="H207" s="544">
        <f>Table3[[#This Row],[Hrs Rank]]</f>
        <v>0</v>
      </c>
      <c r="I207" s="534">
        <f t="shared" si="22"/>
        <v>0</v>
      </c>
      <c r="J207" s="534">
        <f t="shared" si="23"/>
        <v>0</v>
      </c>
      <c r="K207" s="551"/>
      <c r="L207" s="551"/>
      <c r="M207" s="547" t="s">
        <v>228</v>
      </c>
      <c r="N207" s="547" t="s">
        <v>228</v>
      </c>
      <c r="O207" s="548"/>
      <c r="P207" s="549"/>
      <c r="Q207" s="550"/>
      <c r="R207" s="550"/>
      <c r="S207" s="549"/>
      <c r="T207" s="550"/>
      <c r="U207" s="550"/>
      <c r="V207" s="549"/>
      <c r="W207" s="550"/>
      <c r="X207" s="550"/>
      <c r="Y207" s="549"/>
      <c r="Z207" s="550"/>
      <c r="AA207" s="550"/>
      <c r="AB207" s="549"/>
      <c r="AC207" s="550"/>
      <c r="AD207" s="550"/>
      <c r="AE207" s="549"/>
      <c r="AF207" s="550"/>
      <c r="AG207" s="550"/>
      <c r="AH207" s="549"/>
      <c r="AI207" s="550"/>
      <c r="AJ207" s="550"/>
      <c r="AK207" s="549"/>
      <c r="AL207" s="550"/>
      <c r="AM207" s="550"/>
      <c r="AN207" s="549"/>
      <c r="AO207" s="550"/>
      <c r="AP207" s="550"/>
      <c r="AQ207" s="549"/>
      <c r="AR207" s="550"/>
      <c r="AS207" s="550"/>
      <c r="AT207" s="549"/>
      <c r="AU207" s="550"/>
      <c r="AV207" s="550"/>
      <c r="AW207" s="549"/>
      <c r="AX207" s="550"/>
      <c r="AY207" s="550"/>
      <c r="AZ207" s="549"/>
      <c r="BA207" s="550"/>
      <c r="BB207" s="550"/>
      <c r="BC207" s="550"/>
    </row>
    <row r="208" spans="1:55" s="519" customFormat="1">
      <c r="A208" s="531" t="str">
        <f t="shared" si="20"/>
        <v>CP</v>
      </c>
      <c r="B208" s="50" t="str">
        <f t="shared" si="21"/>
        <v>Div12</v>
      </c>
      <c r="C208" s="50" t="s">
        <v>265</v>
      </c>
      <c r="D208" s="532" t="s">
        <v>129</v>
      </c>
      <c r="E208" s="50" t="s">
        <v>52</v>
      </c>
      <c r="F208" s="535" t="str">
        <f>R.13TestImpName4</f>
        <v xml:space="preserve"> </v>
      </c>
      <c r="G208" s="543">
        <f>R.13TestImpHrs4</f>
        <v>0</v>
      </c>
      <c r="H208" s="544">
        <f>Table3[[#This Row],[Hrs Rank]]</f>
        <v>0</v>
      </c>
      <c r="I208" s="534">
        <f t="shared" si="22"/>
        <v>0</v>
      </c>
      <c r="J208" s="534">
        <f t="shared" si="23"/>
        <v>0</v>
      </c>
      <c r="K208" s="551"/>
      <c r="L208" s="551"/>
      <c r="M208" s="547" t="s">
        <v>228</v>
      </c>
      <c r="N208" s="547" t="s">
        <v>228</v>
      </c>
      <c r="O208" s="548"/>
      <c r="P208" s="549"/>
      <c r="Q208" s="550"/>
      <c r="R208" s="550"/>
      <c r="S208" s="549"/>
      <c r="T208" s="550"/>
      <c r="U208" s="550"/>
      <c r="V208" s="549"/>
      <c r="W208" s="550"/>
      <c r="X208" s="550"/>
      <c r="Y208" s="549"/>
      <c r="Z208" s="550"/>
      <c r="AA208" s="550"/>
      <c r="AB208" s="549"/>
      <c r="AC208" s="550"/>
      <c r="AD208" s="550"/>
      <c r="AE208" s="549"/>
      <c r="AF208" s="550"/>
      <c r="AG208" s="550"/>
      <c r="AH208" s="549"/>
      <c r="AI208" s="550"/>
      <c r="AJ208" s="550"/>
      <c r="AK208" s="549"/>
      <c r="AL208" s="550"/>
      <c r="AM208" s="550"/>
      <c r="AN208" s="549"/>
      <c r="AO208" s="550"/>
      <c r="AP208" s="550"/>
      <c r="AQ208" s="549"/>
      <c r="AR208" s="550"/>
      <c r="AS208" s="550"/>
      <c r="AT208" s="549"/>
      <c r="AU208" s="550"/>
      <c r="AV208" s="550"/>
      <c r="AW208" s="549"/>
      <c r="AX208" s="550"/>
      <c r="AY208" s="550"/>
      <c r="AZ208" s="549"/>
      <c r="BA208" s="550"/>
      <c r="BB208" s="550"/>
      <c r="BC208" s="550"/>
    </row>
    <row r="209" spans="1:55" s="519" customFormat="1">
      <c r="A209" s="531" t="str">
        <f t="shared" si="20"/>
        <v>CP</v>
      </c>
      <c r="B209" s="50" t="str">
        <f t="shared" si="21"/>
        <v>Div12</v>
      </c>
      <c r="C209" s="50" t="s">
        <v>265</v>
      </c>
      <c r="D209" s="532" t="s">
        <v>135</v>
      </c>
      <c r="E209" s="50" t="s">
        <v>53</v>
      </c>
      <c r="F209" s="535">
        <f>R.13QADevName1</f>
        <v>0</v>
      </c>
      <c r="G209" s="543">
        <f>R.13QADevHrs1</f>
        <v>0</v>
      </c>
      <c r="H209" s="544">
        <f>Table3[[#This Row],[Hrs Rank]]</f>
        <v>0</v>
      </c>
      <c r="I209" s="534">
        <f t="shared" si="22"/>
        <v>0</v>
      </c>
      <c r="J209" s="534">
        <f t="shared" si="23"/>
        <v>0</v>
      </c>
      <c r="K209" s="551"/>
      <c r="L209" s="551"/>
      <c r="M209" s="547" t="s">
        <v>228</v>
      </c>
      <c r="N209" s="547" t="s">
        <v>228</v>
      </c>
      <c r="O209" s="548"/>
      <c r="P209" s="549"/>
      <c r="Q209" s="550"/>
      <c r="R209" s="550"/>
      <c r="S209" s="549"/>
      <c r="T209" s="550"/>
      <c r="U209" s="550"/>
      <c r="V209" s="549"/>
      <c r="W209" s="550"/>
      <c r="X209" s="550"/>
      <c r="Y209" s="549"/>
      <c r="Z209" s="550"/>
      <c r="AA209" s="550"/>
      <c r="AB209" s="549"/>
      <c r="AC209" s="550"/>
      <c r="AD209" s="550"/>
      <c r="AE209" s="549"/>
      <c r="AF209" s="550"/>
      <c r="AG209" s="550"/>
      <c r="AH209" s="549"/>
      <c r="AI209" s="550"/>
      <c r="AJ209" s="550"/>
      <c r="AK209" s="549"/>
      <c r="AL209" s="550"/>
      <c r="AM209" s="550"/>
      <c r="AN209" s="549"/>
      <c r="AO209" s="550"/>
      <c r="AP209" s="550"/>
      <c r="AQ209" s="549"/>
      <c r="AR209" s="550"/>
      <c r="AS209" s="550"/>
      <c r="AT209" s="549"/>
      <c r="AU209" s="550"/>
      <c r="AV209" s="550"/>
      <c r="AW209" s="549"/>
      <c r="AX209" s="550"/>
      <c r="AY209" s="550"/>
      <c r="AZ209" s="549"/>
      <c r="BA209" s="550"/>
      <c r="BB209" s="550"/>
      <c r="BC209" s="550"/>
    </row>
    <row r="210" spans="1:55" s="519" customFormat="1">
      <c r="A210" s="531" t="str">
        <f t="shared" si="20"/>
        <v>CP</v>
      </c>
      <c r="B210" s="50" t="str">
        <f t="shared" si="21"/>
        <v>Div12</v>
      </c>
      <c r="C210" s="50" t="s">
        <v>265</v>
      </c>
      <c r="D210" s="532" t="s">
        <v>135</v>
      </c>
      <c r="E210" s="50" t="s">
        <v>53</v>
      </c>
      <c r="F210" s="535">
        <f>R.13QADevName2</f>
        <v>0</v>
      </c>
      <c r="G210" s="543">
        <f>R.13QADevHrs2</f>
        <v>0</v>
      </c>
      <c r="H210" s="544">
        <f>Table3[[#This Row],[Hrs Rank]]</f>
        <v>0</v>
      </c>
      <c r="I210" s="534">
        <f t="shared" si="22"/>
        <v>0</v>
      </c>
      <c r="J210" s="534">
        <f t="shared" si="23"/>
        <v>0</v>
      </c>
      <c r="K210" s="551"/>
      <c r="L210" s="551"/>
      <c r="M210" s="547" t="s">
        <v>228</v>
      </c>
      <c r="N210" s="547" t="s">
        <v>228</v>
      </c>
      <c r="O210" s="548"/>
      <c r="P210" s="549"/>
      <c r="Q210" s="550"/>
      <c r="R210" s="550"/>
      <c r="S210" s="549"/>
      <c r="T210" s="550"/>
      <c r="U210" s="550"/>
      <c r="V210" s="549"/>
      <c r="W210" s="550"/>
      <c r="X210" s="550"/>
      <c r="Y210" s="549"/>
      <c r="Z210" s="550"/>
      <c r="AA210" s="550"/>
      <c r="AB210" s="549"/>
      <c r="AC210" s="550"/>
      <c r="AD210" s="550"/>
      <c r="AE210" s="549"/>
      <c r="AF210" s="550"/>
      <c r="AG210" s="550"/>
      <c r="AH210" s="549"/>
      <c r="AI210" s="550"/>
      <c r="AJ210" s="550"/>
      <c r="AK210" s="549"/>
      <c r="AL210" s="550"/>
      <c r="AM210" s="550"/>
      <c r="AN210" s="549"/>
      <c r="AO210" s="550"/>
      <c r="AP210" s="550"/>
      <c r="AQ210" s="549"/>
      <c r="AR210" s="550"/>
      <c r="AS210" s="550"/>
      <c r="AT210" s="549"/>
      <c r="AU210" s="550"/>
      <c r="AV210" s="550"/>
      <c r="AW210" s="549"/>
      <c r="AX210" s="550"/>
      <c r="AY210" s="550"/>
      <c r="AZ210" s="549"/>
      <c r="BA210" s="550"/>
      <c r="BB210" s="550"/>
      <c r="BC210" s="550"/>
    </row>
    <row r="211" spans="1:55" s="519" customFormat="1">
      <c r="A211" s="531" t="str">
        <f t="shared" si="20"/>
        <v>CP</v>
      </c>
      <c r="B211" s="50" t="str">
        <f t="shared" si="21"/>
        <v>Div12</v>
      </c>
      <c r="C211" s="50" t="s">
        <v>265</v>
      </c>
      <c r="D211" s="532" t="s">
        <v>135</v>
      </c>
      <c r="E211" s="50" t="s">
        <v>53</v>
      </c>
      <c r="F211" s="535">
        <f>R.13QADevName3</f>
        <v>0</v>
      </c>
      <c r="G211" s="543">
        <f>R.13QADevHrs3</f>
        <v>0</v>
      </c>
      <c r="H211" s="544">
        <f>Table3[[#This Row],[Hrs Rank]]</f>
        <v>0</v>
      </c>
      <c r="I211" s="534">
        <f t="shared" si="22"/>
        <v>0</v>
      </c>
      <c r="J211" s="534">
        <f t="shared" si="23"/>
        <v>0</v>
      </c>
      <c r="K211" s="551"/>
      <c r="L211" s="551"/>
      <c r="M211" s="547" t="s">
        <v>228</v>
      </c>
      <c r="N211" s="547" t="s">
        <v>228</v>
      </c>
      <c r="O211" s="548"/>
      <c r="P211" s="549"/>
      <c r="Q211" s="550"/>
      <c r="R211" s="550"/>
      <c r="S211" s="549"/>
      <c r="T211" s="550"/>
      <c r="U211" s="550"/>
      <c r="V211" s="549"/>
      <c r="W211" s="550"/>
      <c r="X211" s="550"/>
      <c r="Y211" s="549"/>
      <c r="Z211" s="550"/>
      <c r="AA211" s="550"/>
      <c r="AB211" s="549"/>
      <c r="AC211" s="550"/>
      <c r="AD211" s="550"/>
      <c r="AE211" s="549"/>
      <c r="AF211" s="550"/>
      <c r="AG211" s="550"/>
      <c r="AH211" s="549"/>
      <c r="AI211" s="550"/>
      <c r="AJ211" s="550"/>
      <c r="AK211" s="549"/>
      <c r="AL211" s="550"/>
      <c r="AM211" s="550"/>
      <c r="AN211" s="549"/>
      <c r="AO211" s="550"/>
      <c r="AP211" s="550"/>
      <c r="AQ211" s="549"/>
      <c r="AR211" s="550"/>
      <c r="AS211" s="550"/>
      <c r="AT211" s="549"/>
      <c r="AU211" s="550"/>
      <c r="AV211" s="550"/>
      <c r="AW211" s="549"/>
      <c r="AX211" s="550"/>
      <c r="AY211" s="550"/>
      <c r="AZ211" s="549"/>
      <c r="BA211" s="550"/>
      <c r="BB211" s="550"/>
      <c r="BC211" s="550"/>
    </row>
    <row r="212" spans="1:55" s="519" customFormat="1">
      <c r="A212" s="531" t="str">
        <f t="shared" si="20"/>
        <v>CP</v>
      </c>
      <c r="B212" s="50" t="str">
        <f t="shared" si="21"/>
        <v>Div12</v>
      </c>
      <c r="C212" s="50" t="s">
        <v>265</v>
      </c>
      <c r="D212" s="532" t="s">
        <v>135</v>
      </c>
      <c r="E212" s="50" t="s">
        <v>53</v>
      </c>
      <c r="F212" s="535">
        <f>R.13QADevName4</f>
        <v>0</v>
      </c>
      <c r="G212" s="543">
        <f>R.13QADevHrs4</f>
        <v>0</v>
      </c>
      <c r="H212" s="544">
        <f>Table3[[#This Row],[Hrs Rank]]</f>
        <v>0</v>
      </c>
      <c r="I212" s="534">
        <f t="shared" si="22"/>
        <v>0</v>
      </c>
      <c r="J212" s="534">
        <f t="shared" si="23"/>
        <v>0</v>
      </c>
      <c r="K212" s="551"/>
      <c r="L212" s="551"/>
      <c r="M212" s="547" t="s">
        <v>228</v>
      </c>
      <c r="N212" s="547" t="s">
        <v>228</v>
      </c>
      <c r="O212" s="548"/>
      <c r="P212" s="549"/>
      <c r="Q212" s="550"/>
      <c r="R212" s="550"/>
      <c r="S212" s="549"/>
      <c r="T212" s="550"/>
      <c r="U212" s="550"/>
      <c r="V212" s="549"/>
      <c r="W212" s="550"/>
      <c r="X212" s="550"/>
      <c r="Y212" s="549"/>
      <c r="Z212" s="550"/>
      <c r="AA212" s="550"/>
      <c r="AB212" s="549"/>
      <c r="AC212" s="550"/>
      <c r="AD212" s="550"/>
      <c r="AE212" s="549"/>
      <c r="AF212" s="550"/>
      <c r="AG212" s="550"/>
      <c r="AH212" s="549"/>
      <c r="AI212" s="550"/>
      <c r="AJ212" s="550"/>
      <c r="AK212" s="549"/>
      <c r="AL212" s="550"/>
      <c r="AM212" s="550"/>
      <c r="AN212" s="549"/>
      <c r="AO212" s="550"/>
      <c r="AP212" s="550"/>
      <c r="AQ212" s="549"/>
      <c r="AR212" s="550"/>
      <c r="AS212" s="550"/>
      <c r="AT212" s="549"/>
      <c r="AU212" s="550"/>
      <c r="AV212" s="550"/>
      <c r="AW212" s="549"/>
      <c r="AX212" s="550"/>
      <c r="AY212" s="550"/>
      <c r="AZ212" s="549"/>
      <c r="BA212" s="550"/>
      <c r="BB212" s="550"/>
      <c r="BC212" s="550"/>
    </row>
    <row r="213" spans="1:55" s="519" customFormat="1">
      <c r="A213" s="531" t="str">
        <f t="shared" si="20"/>
        <v>CP</v>
      </c>
      <c r="B213" s="50" t="str">
        <f t="shared" si="21"/>
        <v>Div12</v>
      </c>
      <c r="C213" s="50" t="s">
        <v>265</v>
      </c>
      <c r="D213" s="532" t="s">
        <v>135</v>
      </c>
      <c r="E213" s="50" t="s">
        <v>52</v>
      </c>
      <c r="F213" s="535">
        <f>R.13QAImpName1</f>
        <v>0</v>
      </c>
      <c r="G213" s="543">
        <f>R.13QAImpHrs1</f>
        <v>0</v>
      </c>
      <c r="H213" s="544">
        <f>Table3[[#This Row],[Hrs Rank]]</f>
        <v>0</v>
      </c>
      <c r="I213" s="534">
        <f t="shared" si="22"/>
        <v>0</v>
      </c>
      <c r="J213" s="534">
        <f t="shared" si="23"/>
        <v>0</v>
      </c>
      <c r="K213" s="551"/>
      <c r="L213" s="551"/>
      <c r="M213" s="547" t="s">
        <v>228</v>
      </c>
      <c r="N213" s="547" t="s">
        <v>228</v>
      </c>
      <c r="O213" s="548"/>
      <c r="P213" s="549"/>
      <c r="Q213" s="550"/>
      <c r="R213" s="550"/>
      <c r="S213" s="549"/>
      <c r="T213" s="550"/>
      <c r="U213" s="550"/>
      <c r="V213" s="549"/>
      <c r="W213" s="550"/>
      <c r="X213" s="550"/>
      <c r="Y213" s="549"/>
      <c r="Z213" s="550"/>
      <c r="AA213" s="550"/>
      <c r="AB213" s="549"/>
      <c r="AC213" s="550"/>
      <c r="AD213" s="550"/>
      <c r="AE213" s="549"/>
      <c r="AF213" s="550"/>
      <c r="AG213" s="550"/>
      <c r="AH213" s="549"/>
      <c r="AI213" s="550"/>
      <c r="AJ213" s="550"/>
      <c r="AK213" s="549"/>
      <c r="AL213" s="550"/>
      <c r="AM213" s="550"/>
      <c r="AN213" s="549"/>
      <c r="AO213" s="550"/>
      <c r="AP213" s="550"/>
      <c r="AQ213" s="549"/>
      <c r="AR213" s="550"/>
      <c r="AS213" s="550"/>
      <c r="AT213" s="549"/>
      <c r="AU213" s="550"/>
      <c r="AV213" s="550"/>
      <c r="AW213" s="549"/>
      <c r="AX213" s="550"/>
      <c r="AY213" s="550"/>
      <c r="AZ213" s="549"/>
      <c r="BA213" s="550"/>
      <c r="BB213" s="550"/>
      <c r="BC213" s="550"/>
    </row>
    <row r="214" spans="1:55" s="519" customFormat="1">
      <c r="A214" s="531" t="str">
        <f t="shared" si="20"/>
        <v>CP</v>
      </c>
      <c r="B214" s="50" t="str">
        <f t="shared" si="21"/>
        <v>Div12</v>
      </c>
      <c r="C214" s="50" t="s">
        <v>265</v>
      </c>
      <c r="D214" s="532" t="s">
        <v>135</v>
      </c>
      <c r="E214" s="50" t="s">
        <v>52</v>
      </c>
      <c r="F214" s="535">
        <f>R.13QAImpName2</f>
        <v>0</v>
      </c>
      <c r="G214" s="543">
        <f>R.13QAImpHrs2</f>
        <v>0</v>
      </c>
      <c r="H214" s="544">
        <f>Table3[[#This Row],[Hrs Rank]]</f>
        <v>0</v>
      </c>
      <c r="I214" s="534">
        <f t="shared" si="22"/>
        <v>0</v>
      </c>
      <c r="J214" s="534">
        <f t="shared" si="23"/>
        <v>0</v>
      </c>
      <c r="K214" s="551"/>
      <c r="L214" s="551"/>
      <c r="M214" s="547" t="s">
        <v>228</v>
      </c>
      <c r="N214" s="547" t="s">
        <v>228</v>
      </c>
      <c r="O214" s="548"/>
      <c r="P214" s="549"/>
      <c r="Q214" s="550"/>
      <c r="R214" s="550"/>
      <c r="S214" s="549"/>
      <c r="T214" s="550"/>
      <c r="U214" s="550"/>
      <c r="V214" s="549"/>
      <c r="W214" s="550"/>
      <c r="X214" s="550"/>
      <c r="Y214" s="549"/>
      <c r="Z214" s="550"/>
      <c r="AA214" s="550"/>
      <c r="AB214" s="549"/>
      <c r="AC214" s="550"/>
      <c r="AD214" s="550"/>
      <c r="AE214" s="549"/>
      <c r="AF214" s="550"/>
      <c r="AG214" s="550"/>
      <c r="AH214" s="549"/>
      <c r="AI214" s="550"/>
      <c r="AJ214" s="550"/>
      <c r="AK214" s="549"/>
      <c r="AL214" s="550"/>
      <c r="AM214" s="550"/>
      <c r="AN214" s="549"/>
      <c r="AO214" s="550"/>
      <c r="AP214" s="550"/>
      <c r="AQ214" s="549"/>
      <c r="AR214" s="550"/>
      <c r="AS214" s="550"/>
      <c r="AT214" s="549"/>
      <c r="AU214" s="550"/>
      <c r="AV214" s="550"/>
      <c r="AW214" s="549"/>
      <c r="AX214" s="550"/>
      <c r="AY214" s="550"/>
      <c r="AZ214" s="549"/>
      <c r="BA214" s="550"/>
      <c r="BB214" s="550"/>
      <c r="BC214" s="550"/>
    </row>
    <row r="215" spans="1:55" s="519" customFormat="1">
      <c r="A215" s="531" t="str">
        <f t="shared" si="20"/>
        <v>CP</v>
      </c>
      <c r="B215" s="50" t="str">
        <f t="shared" si="21"/>
        <v>Div12</v>
      </c>
      <c r="C215" s="50" t="s">
        <v>265</v>
      </c>
      <c r="D215" s="532" t="s">
        <v>135</v>
      </c>
      <c r="E215" s="50" t="s">
        <v>52</v>
      </c>
      <c r="F215" s="535">
        <f>R.13QAImpName3</f>
        <v>0</v>
      </c>
      <c r="G215" s="543">
        <f>R.13QAImpHrs3</f>
        <v>0</v>
      </c>
      <c r="H215" s="544">
        <f>Table3[[#This Row],[Hrs Rank]]</f>
        <v>0</v>
      </c>
      <c r="I215" s="534">
        <f t="shared" si="22"/>
        <v>0</v>
      </c>
      <c r="J215" s="534">
        <f t="shared" si="23"/>
        <v>0</v>
      </c>
      <c r="K215" s="551"/>
      <c r="L215" s="551"/>
      <c r="M215" s="547" t="s">
        <v>228</v>
      </c>
      <c r="N215" s="547" t="s">
        <v>228</v>
      </c>
      <c r="O215" s="548"/>
      <c r="P215" s="549"/>
      <c r="Q215" s="550"/>
      <c r="R215" s="550"/>
      <c r="S215" s="549"/>
      <c r="T215" s="550"/>
      <c r="U215" s="550"/>
      <c r="V215" s="549"/>
      <c r="W215" s="550"/>
      <c r="X215" s="550"/>
      <c r="Y215" s="549"/>
      <c r="Z215" s="550"/>
      <c r="AA215" s="550"/>
      <c r="AB215" s="549"/>
      <c r="AC215" s="550"/>
      <c r="AD215" s="550"/>
      <c r="AE215" s="549"/>
      <c r="AF215" s="550"/>
      <c r="AG215" s="550"/>
      <c r="AH215" s="549"/>
      <c r="AI215" s="550"/>
      <c r="AJ215" s="550"/>
      <c r="AK215" s="549"/>
      <c r="AL215" s="550"/>
      <c r="AM215" s="550"/>
      <c r="AN215" s="549"/>
      <c r="AO215" s="550"/>
      <c r="AP215" s="550"/>
      <c r="AQ215" s="549"/>
      <c r="AR215" s="550"/>
      <c r="AS215" s="550"/>
      <c r="AT215" s="549"/>
      <c r="AU215" s="550"/>
      <c r="AV215" s="550"/>
      <c r="AW215" s="549"/>
      <c r="AX215" s="550"/>
      <c r="AY215" s="550"/>
      <c r="AZ215" s="549"/>
      <c r="BA215" s="550"/>
      <c r="BB215" s="550"/>
      <c r="BC215" s="550"/>
    </row>
    <row r="216" spans="1:55" s="519" customFormat="1">
      <c r="A216" s="531" t="str">
        <f t="shared" si="20"/>
        <v>CP</v>
      </c>
      <c r="B216" s="50" t="str">
        <f t="shared" si="21"/>
        <v>Div12</v>
      </c>
      <c r="C216" s="50" t="s">
        <v>265</v>
      </c>
      <c r="D216" s="532" t="s">
        <v>135</v>
      </c>
      <c r="E216" s="50" t="s">
        <v>52</v>
      </c>
      <c r="F216" s="535">
        <f>R.13QAImpName4</f>
        <v>0</v>
      </c>
      <c r="G216" s="543">
        <f>R.13QAImpHrs4</f>
        <v>0</v>
      </c>
      <c r="H216" s="544">
        <f>Table3[[#This Row],[Hrs Rank]]</f>
        <v>0</v>
      </c>
      <c r="I216" s="534">
        <f t="shared" si="22"/>
        <v>0</v>
      </c>
      <c r="J216" s="534">
        <f t="shared" si="23"/>
        <v>0</v>
      </c>
      <c r="K216" s="551"/>
      <c r="L216" s="551"/>
      <c r="M216" s="547" t="s">
        <v>228</v>
      </c>
      <c r="N216" s="547" t="s">
        <v>228</v>
      </c>
      <c r="O216" s="548"/>
      <c r="P216" s="549"/>
      <c r="Q216" s="550"/>
      <c r="R216" s="550"/>
      <c r="S216" s="549"/>
      <c r="T216" s="550"/>
      <c r="U216" s="550"/>
      <c r="V216" s="549"/>
      <c r="W216" s="550"/>
      <c r="X216" s="550"/>
      <c r="Y216" s="549"/>
      <c r="Z216" s="550"/>
      <c r="AA216" s="550"/>
      <c r="AB216" s="549"/>
      <c r="AC216" s="550"/>
      <c r="AD216" s="550"/>
      <c r="AE216" s="549"/>
      <c r="AF216" s="550"/>
      <c r="AG216" s="550"/>
      <c r="AH216" s="549"/>
      <c r="AI216" s="550"/>
      <c r="AJ216" s="550"/>
      <c r="AK216" s="549"/>
      <c r="AL216" s="550"/>
      <c r="AM216" s="550"/>
      <c r="AN216" s="549"/>
      <c r="AO216" s="550"/>
      <c r="AP216" s="550"/>
      <c r="AQ216" s="549"/>
      <c r="AR216" s="550"/>
      <c r="AS216" s="550"/>
      <c r="AT216" s="549"/>
      <c r="AU216" s="550"/>
      <c r="AV216" s="550"/>
      <c r="AW216" s="549"/>
      <c r="AX216" s="550"/>
      <c r="AY216" s="550"/>
      <c r="AZ216" s="549"/>
      <c r="BA216" s="550"/>
      <c r="BB216" s="550"/>
      <c r="BC216" s="550"/>
    </row>
    <row r="217" spans="1:55" s="519" customFormat="1">
      <c r="A217" s="531" t="str">
        <f t="shared" si="20"/>
        <v>CP</v>
      </c>
      <c r="B217" s="50" t="str">
        <f t="shared" si="21"/>
        <v>Div12</v>
      </c>
      <c r="C217" s="50" t="s">
        <v>266</v>
      </c>
      <c r="D217" s="532" t="s">
        <v>130</v>
      </c>
      <c r="E217" s="50" t="s">
        <v>53</v>
      </c>
      <c r="F217" s="535">
        <f>R.14LRAPADevName1</f>
        <v>0</v>
      </c>
      <c r="G217" s="543">
        <v>0</v>
      </c>
      <c r="H217" s="544">
        <f>Table3[[#This Row],[Hrs Rank]]</f>
        <v>0</v>
      </c>
      <c r="I217" s="534">
        <f t="shared" si="22"/>
        <v>0</v>
      </c>
      <c r="J217" s="534">
        <f t="shared" si="23"/>
        <v>0</v>
      </c>
      <c r="K217" s="551"/>
      <c r="L217" s="551"/>
      <c r="M217" s="547" t="s">
        <v>228</v>
      </c>
      <c r="N217" s="547" t="s">
        <v>228</v>
      </c>
      <c r="O217" s="548"/>
      <c r="P217" s="549"/>
      <c r="Q217" s="550"/>
      <c r="R217" s="550"/>
      <c r="S217" s="549"/>
      <c r="T217" s="550"/>
      <c r="U217" s="550"/>
      <c r="V217" s="549"/>
      <c r="W217" s="550"/>
      <c r="X217" s="550"/>
      <c r="Y217" s="549"/>
      <c r="Z217" s="550"/>
      <c r="AA217" s="550"/>
      <c r="AB217" s="549"/>
      <c r="AC217" s="550"/>
      <c r="AD217" s="550"/>
      <c r="AE217" s="549"/>
      <c r="AF217" s="550"/>
      <c r="AG217" s="550"/>
      <c r="AH217" s="549"/>
      <c r="AI217" s="550"/>
      <c r="AJ217" s="550"/>
      <c r="AK217" s="549"/>
      <c r="AL217" s="550"/>
      <c r="AM217" s="550"/>
      <c r="AN217" s="549"/>
      <c r="AO217" s="550"/>
      <c r="AP217" s="550"/>
      <c r="AQ217" s="549"/>
      <c r="AR217" s="550"/>
      <c r="AS217" s="550"/>
      <c r="AT217" s="549"/>
      <c r="AU217" s="550"/>
      <c r="AV217" s="550"/>
      <c r="AW217" s="549"/>
      <c r="AX217" s="550"/>
      <c r="AY217" s="550"/>
      <c r="AZ217" s="549"/>
      <c r="BA217" s="550"/>
      <c r="BB217" s="550"/>
      <c r="BC217" s="550"/>
    </row>
    <row r="218" spans="1:55" s="519" customFormat="1">
      <c r="A218" s="531" t="str">
        <f t="shared" si="20"/>
        <v>CP</v>
      </c>
      <c r="B218" s="50" t="str">
        <f t="shared" si="21"/>
        <v>Div12</v>
      </c>
      <c r="C218" s="50" t="s">
        <v>266</v>
      </c>
      <c r="D218" s="532" t="s">
        <v>130</v>
      </c>
      <c r="E218" s="50" t="s">
        <v>53</v>
      </c>
      <c r="F218" s="535" t="str">
        <f>R.14LRAPADevName2</f>
        <v xml:space="preserve"> </v>
      </c>
      <c r="G218" s="543">
        <f>R.14LRAPADevHrs1</f>
        <v>0</v>
      </c>
      <c r="H218" s="544">
        <f>Table3[[#This Row],[Hrs Rank]]</f>
        <v>0</v>
      </c>
      <c r="I218" s="534">
        <f t="shared" si="22"/>
        <v>0</v>
      </c>
      <c r="J218" s="534">
        <f t="shared" si="23"/>
        <v>0</v>
      </c>
      <c r="K218" s="551"/>
      <c r="L218" s="551"/>
      <c r="M218" s="547" t="s">
        <v>228</v>
      </c>
      <c r="N218" s="547" t="s">
        <v>228</v>
      </c>
      <c r="O218" s="548"/>
      <c r="P218" s="549"/>
      <c r="Q218" s="550"/>
      <c r="R218" s="550"/>
      <c r="S218" s="549"/>
      <c r="T218" s="550"/>
      <c r="U218" s="550"/>
      <c r="V218" s="549"/>
      <c r="W218" s="550"/>
      <c r="X218" s="550"/>
      <c r="Y218" s="549"/>
      <c r="Z218" s="550"/>
      <c r="AA218" s="550"/>
      <c r="AB218" s="549"/>
      <c r="AC218" s="550"/>
      <c r="AD218" s="550"/>
      <c r="AE218" s="549"/>
      <c r="AF218" s="550"/>
      <c r="AG218" s="550"/>
      <c r="AH218" s="549"/>
      <c r="AI218" s="550"/>
      <c r="AJ218" s="550"/>
      <c r="AK218" s="549"/>
      <c r="AL218" s="550"/>
      <c r="AM218" s="550"/>
      <c r="AN218" s="549"/>
      <c r="AO218" s="550"/>
      <c r="AP218" s="550"/>
      <c r="AQ218" s="549"/>
      <c r="AR218" s="550"/>
      <c r="AS218" s="550"/>
      <c r="AT218" s="549"/>
      <c r="AU218" s="550"/>
      <c r="AV218" s="550"/>
      <c r="AW218" s="549"/>
      <c r="AX218" s="550"/>
      <c r="AY218" s="550"/>
      <c r="AZ218" s="549"/>
      <c r="BA218" s="550"/>
      <c r="BB218" s="550"/>
      <c r="BC218" s="550"/>
    </row>
    <row r="219" spans="1:55" s="519" customFormat="1">
      <c r="A219" s="531" t="str">
        <f t="shared" si="20"/>
        <v>CP</v>
      </c>
      <c r="B219" s="50" t="str">
        <f t="shared" si="21"/>
        <v>Div12</v>
      </c>
      <c r="C219" s="50" t="s">
        <v>266</v>
      </c>
      <c r="D219" s="532" t="s">
        <v>130</v>
      </c>
      <c r="E219" s="50" t="s">
        <v>53</v>
      </c>
      <c r="F219" s="535" t="str">
        <f>R.14LRAPADevName3</f>
        <v xml:space="preserve"> </v>
      </c>
      <c r="G219" s="543">
        <f>R.14LRAPADevHrs2</f>
        <v>0</v>
      </c>
      <c r="H219" s="544">
        <f>Table3[[#This Row],[Hrs Rank]]</f>
        <v>0</v>
      </c>
      <c r="I219" s="534">
        <f t="shared" si="22"/>
        <v>0</v>
      </c>
      <c r="J219" s="534">
        <f t="shared" si="23"/>
        <v>0</v>
      </c>
      <c r="K219" s="551"/>
      <c r="L219" s="551"/>
      <c r="M219" s="547" t="s">
        <v>228</v>
      </c>
      <c r="N219" s="547" t="s">
        <v>228</v>
      </c>
      <c r="O219" s="548"/>
      <c r="P219" s="549"/>
      <c r="Q219" s="550"/>
      <c r="R219" s="550"/>
      <c r="S219" s="549"/>
      <c r="T219" s="550"/>
      <c r="U219" s="550"/>
      <c r="V219" s="549"/>
      <c r="W219" s="550"/>
      <c r="X219" s="550"/>
      <c r="Y219" s="549"/>
      <c r="Z219" s="550"/>
      <c r="AA219" s="550"/>
      <c r="AB219" s="549"/>
      <c r="AC219" s="550"/>
      <c r="AD219" s="550"/>
      <c r="AE219" s="549"/>
      <c r="AF219" s="550"/>
      <c r="AG219" s="550"/>
      <c r="AH219" s="549"/>
      <c r="AI219" s="550"/>
      <c r="AJ219" s="550"/>
      <c r="AK219" s="549"/>
      <c r="AL219" s="550"/>
      <c r="AM219" s="550"/>
      <c r="AN219" s="549"/>
      <c r="AO219" s="550"/>
      <c r="AP219" s="550"/>
      <c r="AQ219" s="549"/>
      <c r="AR219" s="550"/>
      <c r="AS219" s="550"/>
      <c r="AT219" s="549"/>
      <c r="AU219" s="550"/>
      <c r="AV219" s="550"/>
      <c r="AW219" s="549"/>
      <c r="AX219" s="550"/>
      <c r="AY219" s="550"/>
      <c r="AZ219" s="549"/>
      <c r="BA219" s="550"/>
      <c r="BB219" s="550"/>
      <c r="BC219" s="550"/>
    </row>
    <row r="220" spans="1:55" s="519" customFormat="1">
      <c r="A220" s="531" t="str">
        <f t="shared" si="20"/>
        <v>CP</v>
      </c>
      <c r="B220" s="50" t="str">
        <f t="shared" si="21"/>
        <v>Div12</v>
      </c>
      <c r="C220" s="50" t="s">
        <v>266</v>
      </c>
      <c r="D220" s="532" t="s">
        <v>130</v>
      </c>
      <c r="E220" s="50" t="s">
        <v>53</v>
      </c>
      <c r="F220" s="535" t="str">
        <f>R.14LRAPADevName4</f>
        <v xml:space="preserve"> </v>
      </c>
      <c r="G220" s="543">
        <f>R.14LRAPADevHrs3</f>
        <v>0</v>
      </c>
      <c r="H220" s="544">
        <f>Table3[[#This Row],[Hrs Rank]]</f>
        <v>0</v>
      </c>
      <c r="I220" s="534">
        <f t="shared" si="22"/>
        <v>0</v>
      </c>
      <c r="J220" s="534">
        <f t="shared" si="23"/>
        <v>0</v>
      </c>
      <c r="K220" s="551"/>
      <c r="L220" s="551"/>
      <c r="M220" s="547" t="s">
        <v>228</v>
      </c>
      <c r="N220" s="547" t="s">
        <v>228</v>
      </c>
      <c r="O220" s="548"/>
      <c r="P220" s="549"/>
      <c r="Q220" s="550"/>
      <c r="R220" s="550"/>
      <c r="S220" s="549"/>
      <c r="T220" s="550"/>
      <c r="U220" s="550"/>
      <c r="V220" s="549"/>
      <c r="W220" s="550"/>
      <c r="X220" s="550"/>
      <c r="Y220" s="549"/>
      <c r="Z220" s="550"/>
      <c r="AA220" s="550"/>
      <c r="AB220" s="549"/>
      <c r="AC220" s="550"/>
      <c r="AD220" s="550"/>
      <c r="AE220" s="549"/>
      <c r="AF220" s="550"/>
      <c r="AG220" s="550"/>
      <c r="AH220" s="549"/>
      <c r="AI220" s="550"/>
      <c r="AJ220" s="550"/>
      <c r="AK220" s="549"/>
      <c r="AL220" s="550"/>
      <c r="AM220" s="550"/>
      <c r="AN220" s="549"/>
      <c r="AO220" s="550"/>
      <c r="AP220" s="550"/>
      <c r="AQ220" s="549"/>
      <c r="AR220" s="550"/>
      <c r="AS220" s="550"/>
      <c r="AT220" s="549"/>
      <c r="AU220" s="550"/>
      <c r="AV220" s="550"/>
      <c r="AW220" s="549"/>
      <c r="AX220" s="550"/>
      <c r="AY220" s="550"/>
      <c r="AZ220" s="549"/>
      <c r="BA220" s="550"/>
      <c r="BB220" s="550"/>
      <c r="BC220" s="550"/>
    </row>
    <row r="221" spans="1:55" s="519" customFormat="1">
      <c r="A221" s="531" t="str">
        <f t="shared" si="20"/>
        <v>CP</v>
      </c>
      <c r="B221" s="50" t="str">
        <f t="shared" si="21"/>
        <v>Div12</v>
      </c>
      <c r="C221" s="50" t="s">
        <v>266</v>
      </c>
      <c r="D221" s="532" t="s">
        <v>130</v>
      </c>
      <c r="E221" s="50" t="s">
        <v>52</v>
      </c>
      <c r="F221" s="535" t="str">
        <f>R.14LRAPAImpName1</f>
        <v xml:space="preserve"> </v>
      </c>
      <c r="G221" s="543">
        <f>R.14LRAPADevHrs4</f>
        <v>0</v>
      </c>
      <c r="H221" s="544">
        <f>Table3[[#This Row],[Hrs Rank]]</f>
        <v>0</v>
      </c>
      <c r="I221" s="534">
        <f t="shared" si="22"/>
        <v>0</v>
      </c>
      <c r="J221" s="534">
        <f t="shared" si="23"/>
        <v>0</v>
      </c>
      <c r="K221" s="551"/>
      <c r="L221" s="551"/>
      <c r="M221" s="547" t="s">
        <v>228</v>
      </c>
      <c r="N221" s="547" t="s">
        <v>228</v>
      </c>
      <c r="O221" s="548"/>
      <c r="P221" s="549"/>
      <c r="Q221" s="550"/>
      <c r="R221" s="550"/>
      <c r="S221" s="549"/>
      <c r="T221" s="550"/>
      <c r="U221" s="550"/>
      <c r="V221" s="549"/>
      <c r="W221" s="550"/>
      <c r="X221" s="550"/>
      <c r="Y221" s="549"/>
      <c r="Z221" s="550"/>
      <c r="AA221" s="550"/>
      <c r="AB221" s="549"/>
      <c r="AC221" s="550"/>
      <c r="AD221" s="550"/>
      <c r="AE221" s="549"/>
      <c r="AF221" s="550"/>
      <c r="AG221" s="550"/>
      <c r="AH221" s="549"/>
      <c r="AI221" s="550"/>
      <c r="AJ221" s="550"/>
      <c r="AK221" s="549"/>
      <c r="AL221" s="550"/>
      <c r="AM221" s="550"/>
      <c r="AN221" s="549"/>
      <c r="AO221" s="550"/>
      <c r="AP221" s="550"/>
      <c r="AQ221" s="549"/>
      <c r="AR221" s="550"/>
      <c r="AS221" s="550"/>
      <c r="AT221" s="549"/>
      <c r="AU221" s="550"/>
      <c r="AV221" s="550"/>
      <c r="AW221" s="549"/>
      <c r="AX221" s="550"/>
      <c r="AY221" s="550"/>
      <c r="AZ221" s="549"/>
      <c r="BA221" s="550"/>
      <c r="BB221" s="550"/>
      <c r="BC221" s="550"/>
    </row>
    <row r="222" spans="1:55" s="519" customFormat="1">
      <c r="A222" s="531" t="str">
        <f t="shared" si="20"/>
        <v>CP</v>
      </c>
      <c r="B222" s="50" t="str">
        <f t="shared" si="21"/>
        <v>Div12</v>
      </c>
      <c r="C222" s="50" t="s">
        <v>266</v>
      </c>
      <c r="D222" s="532" t="s">
        <v>130</v>
      </c>
      <c r="E222" s="50" t="s">
        <v>52</v>
      </c>
      <c r="F222" s="535" t="str">
        <f>R.14LRAPAImpName2</f>
        <v xml:space="preserve"> </v>
      </c>
      <c r="G222" s="543">
        <f>R.14LRAPAImpHrs2</f>
        <v>0</v>
      </c>
      <c r="H222" s="544">
        <f>Table3[[#This Row],[Hrs Rank]]</f>
        <v>0</v>
      </c>
      <c r="I222" s="534">
        <f t="shared" si="22"/>
        <v>0</v>
      </c>
      <c r="J222" s="534">
        <f t="shared" si="23"/>
        <v>0</v>
      </c>
      <c r="K222" s="551"/>
      <c r="L222" s="551"/>
      <c r="M222" s="547" t="s">
        <v>228</v>
      </c>
      <c r="N222" s="547" t="s">
        <v>228</v>
      </c>
      <c r="O222" s="548"/>
      <c r="P222" s="549"/>
      <c r="Q222" s="550"/>
      <c r="R222" s="550"/>
      <c r="S222" s="549"/>
      <c r="T222" s="550"/>
      <c r="U222" s="550"/>
      <c r="V222" s="549"/>
      <c r="W222" s="550"/>
      <c r="X222" s="550"/>
      <c r="Y222" s="549"/>
      <c r="Z222" s="550"/>
      <c r="AA222" s="550"/>
      <c r="AB222" s="549"/>
      <c r="AC222" s="550"/>
      <c r="AD222" s="550"/>
      <c r="AE222" s="549"/>
      <c r="AF222" s="550"/>
      <c r="AG222" s="550"/>
      <c r="AH222" s="549"/>
      <c r="AI222" s="550"/>
      <c r="AJ222" s="550"/>
      <c r="AK222" s="549"/>
      <c r="AL222" s="550"/>
      <c r="AM222" s="550"/>
      <c r="AN222" s="549"/>
      <c r="AO222" s="550"/>
      <c r="AP222" s="550"/>
      <c r="AQ222" s="549"/>
      <c r="AR222" s="550"/>
      <c r="AS222" s="550"/>
      <c r="AT222" s="549"/>
      <c r="AU222" s="550"/>
      <c r="AV222" s="550"/>
      <c r="AW222" s="549"/>
      <c r="AX222" s="550"/>
      <c r="AY222" s="550"/>
      <c r="AZ222" s="549"/>
      <c r="BA222" s="550"/>
      <c r="BB222" s="550"/>
      <c r="BC222" s="550"/>
    </row>
    <row r="223" spans="1:55" s="519" customFormat="1">
      <c r="A223" s="531" t="str">
        <f t="shared" ref="A223:A254" si="24">R.1Division</f>
        <v>CP</v>
      </c>
      <c r="B223" s="50" t="str">
        <f t="shared" ref="B223:B254" si="25">R.1CodeName</f>
        <v>Div12</v>
      </c>
      <c r="C223" s="50" t="s">
        <v>266</v>
      </c>
      <c r="D223" s="532" t="s">
        <v>130</v>
      </c>
      <c r="E223" s="50" t="s">
        <v>52</v>
      </c>
      <c r="F223" s="535" t="str">
        <f>R.14LRAPAImpName3</f>
        <v xml:space="preserve"> </v>
      </c>
      <c r="G223" s="543">
        <v>0</v>
      </c>
      <c r="H223" s="544">
        <f>Table3[[#This Row],[Hrs Rank]]</f>
        <v>0</v>
      </c>
      <c r="I223" s="534">
        <f t="shared" si="22"/>
        <v>0</v>
      </c>
      <c r="J223" s="534">
        <f t="shared" si="23"/>
        <v>0</v>
      </c>
      <c r="K223" s="551"/>
      <c r="L223" s="551"/>
      <c r="M223" s="547" t="s">
        <v>228</v>
      </c>
      <c r="N223" s="547" t="s">
        <v>228</v>
      </c>
      <c r="O223" s="548"/>
      <c r="P223" s="549"/>
      <c r="Q223" s="550"/>
      <c r="R223" s="550"/>
      <c r="S223" s="549"/>
      <c r="T223" s="550"/>
      <c r="U223" s="550"/>
      <c r="V223" s="549"/>
      <c r="W223" s="550"/>
      <c r="X223" s="550"/>
      <c r="Y223" s="549"/>
      <c r="Z223" s="550"/>
      <c r="AA223" s="550"/>
      <c r="AB223" s="549"/>
      <c r="AC223" s="550"/>
      <c r="AD223" s="550"/>
      <c r="AE223" s="549"/>
      <c r="AF223" s="550"/>
      <c r="AG223" s="550"/>
      <c r="AH223" s="549"/>
      <c r="AI223" s="550"/>
      <c r="AJ223" s="550"/>
      <c r="AK223" s="549"/>
      <c r="AL223" s="550"/>
      <c r="AM223" s="550"/>
      <c r="AN223" s="549"/>
      <c r="AO223" s="550"/>
      <c r="AP223" s="550"/>
      <c r="AQ223" s="549"/>
      <c r="AR223" s="550"/>
      <c r="AS223" s="550"/>
      <c r="AT223" s="549"/>
      <c r="AU223" s="550"/>
      <c r="AV223" s="550"/>
      <c r="AW223" s="549"/>
      <c r="AX223" s="550"/>
      <c r="AY223" s="550"/>
      <c r="AZ223" s="549"/>
      <c r="BA223" s="550"/>
      <c r="BB223" s="550"/>
      <c r="BC223" s="550"/>
    </row>
    <row r="224" spans="1:55" s="519" customFormat="1">
      <c r="A224" s="531" t="str">
        <f t="shared" si="24"/>
        <v>CP</v>
      </c>
      <c r="B224" s="50" t="str">
        <f t="shared" si="25"/>
        <v>Div12</v>
      </c>
      <c r="C224" s="50" t="s">
        <v>266</v>
      </c>
      <c r="D224" s="532" t="s">
        <v>130</v>
      </c>
      <c r="E224" s="50" t="s">
        <v>52</v>
      </c>
      <c r="F224" s="535" t="str">
        <f>R.14LRAPAImpName4</f>
        <v xml:space="preserve"> </v>
      </c>
      <c r="G224" s="543">
        <f>R.14LRAPAImpHrs4</f>
        <v>0</v>
      </c>
      <c r="H224" s="544">
        <f>Table3[[#This Row],[Hrs Rank]]</f>
        <v>0</v>
      </c>
      <c r="I224" s="534">
        <f t="shared" si="22"/>
        <v>0</v>
      </c>
      <c r="J224" s="534">
        <f t="shared" si="23"/>
        <v>0</v>
      </c>
      <c r="K224" s="551"/>
      <c r="L224" s="551"/>
      <c r="M224" s="547" t="s">
        <v>228</v>
      </c>
      <c r="N224" s="547" t="s">
        <v>228</v>
      </c>
      <c r="O224" s="548"/>
      <c r="P224" s="549"/>
      <c r="Q224" s="550"/>
      <c r="R224" s="550"/>
      <c r="S224" s="549"/>
      <c r="T224" s="550"/>
      <c r="U224" s="550"/>
      <c r="V224" s="549"/>
      <c r="W224" s="550"/>
      <c r="X224" s="550"/>
      <c r="Y224" s="549"/>
      <c r="Z224" s="550"/>
      <c r="AA224" s="550"/>
      <c r="AB224" s="549"/>
      <c r="AC224" s="550"/>
      <c r="AD224" s="550"/>
      <c r="AE224" s="549"/>
      <c r="AF224" s="550"/>
      <c r="AG224" s="550"/>
      <c r="AH224" s="549"/>
      <c r="AI224" s="550"/>
      <c r="AJ224" s="550"/>
      <c r="AK224" s="549"/>
      <c r="AL224" s="550"/>
      <c r="AM224" s="550"/>
      <c r="AN224" s="549"/>
      <c r="AO224" s="550"/>
      <c r="AP224" s="550"/>
      <c r="AQ224" s="549"/>
      <c r="AR224" s="550"/>
      <c r="AS224" s="550"/>
      <c r="AT224" s="549"/>
      <c r="AU224" s="550"/>
      <c r="AV224" s="550"/>
      <c r="AW224" s="549"/>
      <c r="AX224" s="550"/>
      <c r="AY224" s="550"/>
      <c r="AZ224" s="549"/>
      <c r="BA224" s="550"/>
      <c r="BB224" s="550"/>
      <c r="BC224" s="550"/>
    </row>
    <row r="225" spans="1:55" s="519" customFormat="1">
      <c r="A225" s="531" t="str">
        <f t="shared" si="24"/>
        <v>CP</v>
      </c>
      <c r="B225" s="50" t="str">
        <f t="shared" si="25"/>
        <v>Div12</v>
      </c>
      <c r="C225" s="50" t="s">
        <v>266</v>
      </c>
      <c r="D225" s="532" t="s">
        <v>131</v>
      </c>
      <c r="E225" s="50" t="s">
        <v>53</v>
      </c>
      <c r="F225" s="543" t="str">
        <f>R.14EPADevName1</f>
        <v xml:space="preserve"> </v>
      </c>
      <c r="G225" s="543">
        <f>R.14EPADevHrs1</f>
        <v>0</v>
      </c>
      <c r="H225" s="544">
        <f>Table3[[#This Row],[Hrs Rank]]</f>
        <v>0</v>
      </c>
      <c r="I225" s="534">
        <f t="shared" si="22"/>
        <v>0</v>
      </c>
      <c r="J225" s="534">
        <f t="shared" si="23"/>
        <v>0</v>
      </c>
      <c r="K225" s="551"/>
      <c r="L225" s="551"/>
      <c r="M225" s="547" t="s">
        <v>228</v>
      </c>
      <c r="N225" s="547" t="s">
        <v>228</v>
      </c>
      <c r="O225" s="548"/>
      <c r="P225" s="549"/>
      <c r="Q225" s="550"/>
      <c r="R225" s="550"/>
      <c r="S225" s="549"/>
      <c r="T225" s="550"/>
      <c r="U225" s="550"/>
      <c r="V225" s="549"/>
      <c r="W225" s="550"/>
      <c r="X225" s="550"/>
      <c r="Y225" s="549"/>
      <c r="Z225" s="550"/>
      <c r="AA225" s="550"/>
      <c r="AB225" s="549"/>
      <c r="AC225" s="550"/>
      <c r="AD225" s="550"/>
      <c r="AE225" s="549"/>
      <c r="AF225" s="550"/>
      <c r="AG225" s="550"/>
      <c r="AH225" s="549"/>
      <c r="AI225" s="550"/>
      <c r="AJ225" s="550"/>
      <c r="AK225" s="549"/>
      <c r="AL225" s="550"/>
      <c r="AM225" s="550"/>
      <c r="AN225" s="549"/>
      <c r="AO225" s="550"/>
      <c r="AP225" s="550"/>
      <c r="AQ225" s="549"/>
      <c r="AR225" s="550"/>
      <c r="AS225" s="550"/>
      <c r="AT225" s="549"/>
      <c r="AU225" s="550"/>
      <c r="AV225" s="550"/>
      <c r="AW225" s="549"/>
      <c r="AX225" s="550"/>
      <c r="AY225" s="550"/>
      <c r="AZ225" s="549"/>
      <c r="BA225" s="550"/>
      <c r="BB225" s="550"/>
      <c r="BC225" s="550"/>
    </row>
    <row r="226" spans="1:55" s="519" customFormat="1">
      <c r="A226" s="531" t="str">
        <f t="shared" si="24"/>
        <v>CP</v>
      </c>
      <c r="B226" s="50" t="str">
        <f t="shared" si="25"/>
        <v>Div12</v>
      </c>
      <c r="C226" s="50" t="s">
        <v>266</v>
      </c>
      <c r="D226" s="532" t="s">
        <v>131</v>
      </c>
      <c r="E226" s="50" t="s">
        <v>53</v>
      </c>
      <c r="F226" s="543" t="str">
        <f>R.14EPADevName2</f>
        <v xml:space="preserve"> </v>
      </c>
      <c r="G226" s="543">
        <f>R.14EPADevHrs2</f>
        <v>0</v>
      </c>
      <c r="H226" s="544">
        <f>Table3[[#This Row],[Hrs Rank]]</f>
        <v>0</v>
      </c>
      <c r="I226" s="534">
        <f t="shared" si="22"/>
        <v>0</v>
      </c>
      <c r="J226" s="534">
        <f t="shared" si="23"/>
        <v>0</v>
      </c>
      <c r="K226" s="551"/>
      <c r="L226" s="551"/>
      <c r="M226" s="547" t="s">
        <v>228</v>
      </c>
      <c r="N226" s="547" t="s">
        <v>228</v>
      </c>
      <c r="O226" s="548"/>
      <c r="P226" s="549"/>
      <c r="Q226" s="550"/>
      <c r="R226" s="550"/>
      <c r="S226" s="549"/>
      <c r="T226" s="550"/>
      <c r="U226" s="550"/>
      <c r="V226" s="549"/>
      <c r="W226" s="550"/>
      <c r="X226" s="550"/>
      <c r="Y226" s="549"/>
      <c r="Z226" s="550"/>
      <c r="AA226" s="550"/>
      <c r="AB226" s="549"/>
      <c r="AC226" s="550"/>
      <c r="AD226" s="550"/>
      <c r="AE226" s="549"/>
      <c r="AF226" s="550"/>
      <c r="AG226" s="550"/>
      <c r="AH226" s="549"/>
      <c r="AI226" s="550"/>
      <c r="AJ226" s="550"/>
      <c r="AK226" s="549"/>
      <c r="AL226" s="550"/>
      <c r="AM226" s="550"/>
      <c r="AN226" s="549"/>
      <c r="AO226" s="550"/>
      <c r="AP226" s="550"/>
      <c r="AQ226" s="549"/>
      <c r="AR226" s="550"/>
      <c r="AS226" s="550"/>
      <c r="AT226" s="549"/>
      <c r="AU226" s="550"/>
      <c r="AV226" s="550"/>
      <c r="AW226" s="549"/>
      <c r="AX226" s="550"/>
      <c r="AY226" s="550"/>
      <c r="AZ226" s="549"/>
      <c r="BA226" s="550"/>
      <c r="BB226" s="550"/>
      <c r="BC226" s="550"/>
    </row>
    <row r="227" spans="1:55" s="519" customFormat="1">
      <c r="A227" s="531" t="str">
        <f t="shared" si="24"/>
        <v>CP</v>
      </c>
      <c r="B227" s="50" t="str">
        <f t="shared" si="25"/>
        <v>Div12</v>
      </c>
      <c r="C227" s="50" t="s">
        <v>266</v>
      </c>
      <c r="D227" s="532" t="s">
        <v>131</v>
      </c>
      <c r="E227" s="50" t="s">
        <v>53</v>
      </c>
      <c r="F227" s="543" t="str">
        <f>R.14EPADevName3</f>
        <v xml:space="preserve"> </v>
      </c>
      <c r="G227" s="543">
        <f>R.14EPADevHrs3</f>
        <v>0</v>
      </c>
      <c r="H227" s="544">
        <f>Table3[[#This Row],[Hrs Rank]]</f>
        <v>0</v>
      </c>
      <c r="I227" s="534">
        <f t="shared" si="22"/>
        <v>0</v>
      </c>
      <c r="J227" s="534">
        <f t="shared" si="23"/>
        <v>0</v>
      </c>
      <c r="K227" s="551"/>
      <c r="L227" s="551"/>
      <c r="M227" s="547" t="s">
        <v>228</v>
      </c>
      <c r="N227" s="547" t="s">
        <v>228</v>
      </c>
      <c r="O227" s="548"/>
      <c r="P227" s="549"/>
      <c r="Q227" s="550"/>
      <c r="R227" s="550"/>
      <c r="S227" s="549"/>
      <c r="T227" s="550"/>
      <c r="U227" s="550"/>
      <c r="V227" s="549"/>
      <c r="W227" s="550"/>
      <c r="X227" s="550"/>
      <c r="Y227" s="549"/>
      <c r="Z227" s="550"/>
      <c r="AA227" s="550"/>
      <c r="AB227" s="549"/>
      <c r="AC227" s="550"/>
      <c r="AD227" s="550"/>
      <c r="AE227" s="549"/>
      <c r="AF227" s="550"/>
      <c r="AG227" s="550"/>
      <c r="AH227" s="549"/>
      <c r="AI227" s="550"/>
      <c r="AJ227" s="550"/>
      <c r="AK227" s="549"/>
      <c r="AL227" s="550"/>
      <c r="AM227" s="550"/>
      <c r="AN227" s="549"/>
      <c r="AO227" s="550"/>
      <c r="AP227" s="550"/>
      <c r="AQ227" s="549"/>
      <c r="AR227" s="550"/>
      <c r="AS227" s="550"/>
      <c r="AT227" s="549"/>
      <c r="AU227" s="550"/>
      <c r="AV227" s="550"/>
      <c r="AW227" s="549"/>
      <c r="AX227" s="550"/>
      <c r="AY227" s="550"/>
      <c r="AZ227" s="549"/>
      <c r="BA227" s="550"/>
      <c r="BB227" s="550"/>
      <c r="BC227" s="550"/>
    </row>
    <row r="228" spans="1:55" s="519" customFormat="1">
      <c r="A228" s="531" t="str">
        <f t="shared" si="24"/>
        <v>CP</v>
      </c>
      <c r="B228" s="50" t="str">
        <f t="shared" si="25"/>
        <v>Div12</v>
      </c>
      <c r="C228" s="50" t="s">
        <v>266</v>
      </c>
      <c r="D228" s="532" t="s">
        <v>131</v>
      </c>
      <c r="E228" s="50" t="s">
        <v>53</v>
      </c>
      <c r="F228" s="543" t="str">
        <f>R.14EPADevName4</f>
        <v xml:space="preserve"> </v>
      </c>
      <c r="G228" s="543">
        <f>R.14EPADevHrs4</f>
        <v>0</v>
      </c>
      <c r="H228" s="544">
        <f>Table3[[#This Row],[Hrs Rank]]</f>
        <v>0</v>
      </c>
      <c r="I228" s="534">
        <f t="shared" si="22"/>
        <v>0</v>
      </c>
      <c r="J228" s="534">
        <f t="shared" si="23"/>
        <v>0</v>
      </c>
      <c r="K228" s="551"/>
      <c r="L228" s="551"/>
      <c r="M228" s="547" t="s">
        <v>228</v>
      </c>
      <c r="N228" s="547" t="s">
        <v>228</v>
      </c>
      <c r="O228" s="548"/>
      <c r="P228" s="549"/>
      <c r="Q228" s="550"/>
      <c r="R228" s="550"/>
      <c r="S228" s="549"/>
      <c r="T228" s="550"/>
      <c r="U228" s="550"/>
      <c r="V228" s="549"/>
      <c r="W228" s="550"/>
      <c r="X228" s="550"/>
      <c r="Y228" s="549"/>
      <c r="Z228" s="550"/>
      <c r="AA228" s="550"/>
      <c r="AB228" s="549"/>
      <c r="AC228" s="550"/>
      <c r="AD228" s="550"/>
      <c r="AE228" s="549"/>
      <c r="AF228" s="550"/>
      <c r="AG228" s="550"/>
      <c r="AH228" s="549"/>
      <c r="AI228" s="550"/>
      <c r="AJ228" s="550"/>
      <c r="AK228" s="549"/>
      <c r="AL228" s="550"/>
      <c r="AM228" s="550"/>
      <c r="AN228" s="549"/>
      <c r="AO228" s="550"/>
      <c r="AP228" s="550"/>
      <c r="AQ228" s="549"/>
      <c r="AR228" s="550"/>
      <c r="AS228" s="550"/>
      <c r="AT228" s="549"/>
      <c r="AU228" s="550"/>
      <c r="AV228" s="550"/>
      <c r="AW228" s="549"/>
      <c r="AX228" s="550"/>
      <c r="AY228" s="550"/>
      <c r="AZ228" s="549"/>
      <c r="BA228" s="550"/>
      <c r="BB228" s="550"/>
      <c r="BC228" s="550"/>
    </row>
    <row r="229" spans="1:55" s="519" customFormat="1">
      <c r="A229" s="531" t="str">
        <f t="shared" si="24"/>
        <v>CP</v>
      </c>
      <c r="B229" s="50" t="str">
        <f t="shared" si="25"/>
        <v>Div12</v>
      </c>
      <c r="C229" s="50" t="s">
        <v>266</v>
      </c>
      <c r="D229" s="532" t="s">
        <v>131</v>
      </c>
      <c r="E229" s="50" t="s">
        <v>52</v>
      </c>
      <c r="F229" s="543" t="str">
        <f>R.14EPAImpName1</f>
        <v xml:space="preserve"> </v>
      </c>
      <c r="G229" s="543">
        <f>R.14EPAImpHrs1</f>
        <v>0</v>
      </c>
      <c r="H229" s="544">
        <f>Table3[[#This Row],[Hrs Rank]]</f>
        <v>0</v>
      </c>
      <c r="I229" s="534">
        <f t="shared" si="22"/>
        <v>0</v>
      </c>
      <c r="J229" s="534">
        <f t="shared" si="23"/>
        <v>0</v>
      </c>
      <c r="K229" s="551"/>
      <c r="L229" s="551"/>
      <c r="M229" s="547" t="s">
        <v>228</v>
      </c>
      <c r="N229" s="547" t="s">
        <v>228</v>
      </c>
      <c r="O229" s="548"/>
      <c r="P229" s="549"/>
      <c r="Q229" s="550"/>
      <c r="R229" s="550"/>
      <c r="S229" s="549"/>
      <c r="T229" s="550"/>
      <c r="U229" s="550"/>
      <c r="V229" s="549"/>
      <c r="W229" s="550"/>
      <c r="X229" s="550"/>
      <c r="Y229" s="549"/>
      <c r="Z229" s="550"/>
      <c r="AA229" s="550"/>
      <c r="AB229" s="549"/>
      <c r="AC229" s="550"/>
      <c r="AD229" s="550"/>
      <c r="AE229" s="549"/>
      <c r="AF229" s="550"/>
      <c r="AG229" s="550"/>
      <c r="AH229" s="549"/>
      <c r="AI229" s="550"/>
      <c r="AJ229" s="550"/>
      <c r="AK229" s="549"/>
      <c r="AL229" s="550"/>
      <c r="AM229" s="550"/>
      <c r="AN229" s="549"/>
      <c r="AO229" s="550"/>
      <c r="AP229" s="550"/>
      <c r="AQ229" s="549"/>
      <c r="AR229" s="550"/>
      <c r="AS229" s="550"/>
      <c r="AT229" s="549"/>
      <c r="AU229" s="550"/>
      <c r="AV229" s="550"/>
      <c r="AW229" s="549"/>
      <c r="AX229" s="550"/>
      <c r="AY229" s="550"/>
      <c r="AZ229" s="549"/>
      <c r="BA229" s="550"/>
      <c r="BB229" s="550"/>
      <c r="BC229" s="550"/>
    </row>
    <row r="230" spans="1:55" s="519" customFormat="1">
      <c r="A230" s="531" t="str">
        <f t="shared" si="24"/>
        <v>CP</v>
      </c>
      <c r="B230" s="50" t="str">
        <f t="shared" si="25"/>
        <v>Div12</v>
      </c>
      <c r="C230" s="50" t="s">
        <v>266</v>
      </c>
      <c r="D230" s="532" t="s">
        <v>131</v>
      </c>
      <c r="E230" s="50" t="s">
        <v>52</v>
      </c>
      <c r="F230" s="543" t="str">
        <f>R.14EPAImpName2</f>
        <v xml:space="preserve"> </v>
      </c>
      <c r="G230" s="543">
        <f>R.14EPAImpHrs2</f>
        <v>0</v>
      </c>
      <c r="H230" s="544">
        <f>Table3[[#This Row],[Hrs Rank]]</f>
        <v>0</v>
      </c>
      <c r="I230" s="534">
        <f t="shared" si="22"/>
        <v>0</v>
      </c>
      <c r="J230" s="534">
        <f t="shared" si="23"/>
        <v>0</v>
      </c>
      <c r="K230" s="551"/>
      <c r="L230" s="551"/>
      <c r="M230" s="547" t="s">
        <v>228</v>
      </c>
      <c r="N230" s="547" t="s">
        <v>228</v>
      </c>
      <c r="O230" s="548"/>
      <c r="P230" s="549"/>
      <c r="Q230" s="550"/>
      <c r="R230" s="550"/>
      <c r="S230" s="549"/>
      <c r="T230" s="550"/>
      <c r="U230" s="550"/>
      <c r="V230" s="549"/>
      <c r="W230" s="550"/>
      <c r="X230" s="550"/>
      <c r="Y230" s="549"/>
      <c r="Z230" s="550"/>
      <c r="AA230" s="550"/>
      <c r="AB230" s="549"/>
      <c r="AC230" s="550"/>
      <c r="AD230" s="550"/>
      <c r="AE230" s="549"/>
      <c r="AF230" s="550"/>
      <c r="AG230" s="550"/>
      <c r="AH230" s="549"/>
      <c r="AI230" s="550"/>
      <c r="AJ230" s="550"/>
      <c r="AK230" s="549"/>
      <c r="AL230" s="550"/>
      <c r="AM230" s="550"/>
      <c r="AN230" s="549"/>
      <c r="AO230" s="550"/>
      <c r="AP230" s="550"/>
      <c r="AQ230" s="549"/>
      <c r="AR230" s="550"/>
      <c r="AS230" s="550"/>
      <c r="AT230" s="549"/>
      <c r="AU230" s="550"/>
      <c r="AV230" s="550"/>
      <c r="AW230" s="549"/>
      <c r="AX230" s="550"/>
      <c r="AY230" s="550"/>
      <c r="AZ230" s="549"/>
      <c r="BA230" s="550"/>
      <c r="BB230" s="550"/>
      <c r="BC230" s="550"/>
    </row>
    <row r="231" spans="1:55" s="519" customFormat="1">
      <c r="A231" s="531" t="str">
        <f t="shared" si="24"/>
        <v>CP</v>
      </c>
      <c r="B231" s="50" t="str">
        <f t="shared" si="25"/>
        <v>Div12</v>
      </c>
      <c r="C231" s="50" t="s">
        <v>266</v>
      </c>
      <c r="D231" s="532" t="s">
        <v>131</v>
      </c>
      <c r="E231" s="50" t="s">
        <v>52</v>
      </c>
      <c r="F231" s="543" t="str">
        <f>R.14EPAImpName3</f>
        <v xml:space="preserve"> </v>
      </c>
      <c r="G231" s="543">
        <f>R.14EPAImpHrs3</f>
        <v>0</v>
      </c>
      <c r="H231" s="544">
        <f>Table3[[#This Row],[Hrs Rank]]</f>
        <v>0</v>
      </c>
      <c r="I231" s="534">
        <f t="shared" si="22"/>
        <v>0</v>
      </c>
      <c r="J231" s="534">
        <f t="shared" si="23"/>
        <v>0</v>
      </c>
      <c r="K231" s="551"/>
      <c r="L231" s="551"/>
      <c r="M231" s="547" t="s">
        <v>228</v>
      </c>
      <c r="N231" s="547" t="s">
        <v>228</v>
      </c>
      <c r="O231" s="548"/>
      <c r="P231" s="549"/>
      <c r="Q231" s="550"/>
      <c r="R231" s="550"/>
      <c r="S231" s="549"/>
      <c r="T231" s="550"/>
      <c r="U231" s="550"/>
      <c r="V231" s="549"/>
      <c r="W231" s="550"/>
      <c r="X231" s="550"/>
      <c r="Y231" s="549"/>
      <c r="Z231" s="550"/>
      <c r="AA231" s="550"/>
      <c r="AB231" s="549"/>
      <c r="AC231" s="550"/>
      <c r="AD231" s="550"/>
      <c r="AE231" s="549"/>
      <c r="AF231" s="550"/>
      <c r="AG231" s="550"/>
      <c r="AH231" s="549"/>
      <c r="AI231" s="550"/>
      <c r="AJ231" s="550"/>
      <c r="AK231" s="549"/>
      <c r="AL231" s="550"/>
      <c r="AM231" s="550"/>
      <c r="AN231" s="549"/>
      <c r="AO231" s="550"/>
      <c r="AP231" s="550"/>
      <c r="AQ231" s="549"/>
      <c r="AR231" s="550"/>
      <c r="AS231" s="550"/>
      <c r="AT231" s="549"/>
      <c r="AU231" s="550"/>
      <c r="AV231" s="550"/>
      <c r="AW231" s="549"/>
      <c r="AX231" s="550"/>
      <c r="AY231" s="550"/>
      <c r="AZ231" s="549"/>
      <c r="BA231" s="550"/>
      <c r="BB231" s="550"/>
      <c r="BC231" s="550"/>
    </row>
    <row r="232" spans="1:55" s="519" customFormat="1">
      <c r="A232" s="531" t="str">
        <f t="shared" si="24"/>
        <v>CP</v>
      </c>
      <c r="B232" s="50" t="str">
        <f t="shared" si="25"/>
        <v>Div12</v>
      </c>
      <c r="C232" s="50" t="s">
        <v>266</v>
      </c>
      <c r="D232" s="532" t="s">
        <v>131</v>
      </c>
      <c r="E232" s="50" t="s">
        <v>52</v>
      </c>
      <c r="F232" s="535" t="str">
        <f>R.14EPAImpName4</f>
        <v xml:space="preserve"> </v>
      </c>
      <c r="G232" s="543">
        <f>R.14EPAImpHrs4</f>
        <v>0</v>
      </c>
      <c r="H232" s="544">
        <f>Table3[[#This Row],[Hrs Rank]]</f>
        <v>0</v>
      </c>
      <c r="I232" s="534">
        <f t="shared" si="22"/>
        <v>0</v>
      </c>
      <c r="J232" s="534">
        <f t="shared" si="23"/>
        <v>0</v>
      </c>
      <c r="K232" s="551"/>
      <c r="L232" s="551"/>
      <c r="M232" s="547" t="s">
        <v>228</v>
      </c>
      <c r="N232" s="547" t="s">
        <v>228</v>
      </c>
      <c r="O232" s="548"/>
      <c r="P232" s="549"/>
      <c r="Q232" s="550"/>
      <c r="R232" s="550"/>
      <c r="S232" s="549"/>
      <c r="T232" s="550"/>
      <c r="U232" s="550"/>
      <c r="V232" s="549"/>
      <c r="W232" s="550"/>
      <c r="X232" s="550"/>
      <c r="Y232" s="549"/>
      <c r="Z232" s="550"/>
      <c r="AA232" s="550"/>
      <c r="AB232" s="549"/>
      <c r="AC232" s="550"/>
      <c r="AD232" s="550"/>
      <c r="AE232" s="549"/>
      <c r="AF232" s="550"/>
      <c r="AG232" s="550"/>
      <c r="AH232" s="549"/>
      <c r="AI232" s="550"/>
      <c r="AJ232" s="550"/>
      <c r="AK232" s="549"/>
      <c r="AL232" s="550"/>
      <c r="AM232" s="550"/>
      <c r="AN232" s="549"/>
      <c r="AO232" s="550"/>
      <c r="AP232" s="550"/>
      <c r="AQ232" s="549"/>
      <c r="AR232" s="550"/>
      <c r="AS232" s="550"/>
      <c r="AT232" s="549"/>
      <c r="AU232" s="550"/>
      <c r="AV232" s="550"/>
      <c r="AW232" s="549"/>
      <c r="AX232" s="550"/>
      <c r="AY232" s="550"/>
      <c r="AZ232" s="549"/>
      <c r="BA232" s="550"/>
      <c r="BB232" s="550"/>
      <c r="BC232" s="550"/>
    </row>
    <row r="233" spans="1:55" s="519" customFormat="1">
      <c r="A233" s="531" t="str">
        <f t="shared" si="24"/>
        <v>CP</v>
      </c>
      <c r="B233" s="50" t="str">
        <f t="shared" si="25"/>
        <v>Div12</v>
      </c>
      <c r="C233" s="50" t="s">
        <v>266</v>
      </c>
      <c r="D233" s="532" t="s">
        <v>132</v>
      </c>
      <c r="E233" s="50" t="s">
        <v>53</v>
      </c>
      <c r="F233" s="535" t="str">
        <f>R.14MuniDevName1</f>
        <v xml:space="preserve"> </v>
      </c>
      <c r="G233" s="543">
        <f>R.14MuniDevHrs1</f>
        <v>0</v>
      </c>
      <c r="H233" s="544">
        <f>Table3[[#This Row],[Hrs Rank]]</f>
        <v>0</v>
      </c>
      <c r="I233" s="534">
        <f t="shared" si="22"/>
        <v>0</v>
      </c>
      <c r="J233" s="534">
        <f t="shared" si="23"/>
        <v>0</v>
      </c>
      <c r="K233" s="551"/>
      <c r="L233" s="551"/>
      <c r="M233" s="547" t="s">
        <v>228</v>
      </c>
      <c r="N233" s="547" t="s">
        <v>228</v>
      </c>
      <c r="O233" s="548"/>
      <c r="P233" s="549"/>
      <c r="Q233" s="550"/>
      <c r="R233" s="550"/>
      <c r="S233" s="549"/>
      <c r="T233" s="550"/>
      <c r="U233" s="550"/>
      <c r="V233" s="549"/>
      <c r="W233" s="550"/>
      <c r="X233" s="550"/>
      <c r="Y233" s="549"/>
      <c r="Z233" s="550"/>
      <c r="AA233" s="550"/>
      <c r="AB233" s="549"/>
      <c r="AC233" s="550"/>
      <c r="AD233" s="550"/>
      <c r="AE233" s="549"/>
      <c r="AF233" s="550"/>
      <c r="AG233" s="550"/>
      <c r="AH233" s="549"/>
      <c r="AI233" s="550"/>
      <c r="AJ233" s="550"/>
      <c r="AK233" s="549"/>
      <c r="AL233" s="550"/>
      <c r="AM233" s="550"/>
      <c r="AN233" s="549"/>
      <c r="AO233" s="550"/>
      <c r="AP233" s="550"/>
      <c r="AQ233" s="549"/>
      <c r="AR233" s="550"/>
      <c r="AS233" s="550"/>
      <c r="AT233" s="549"/>
      <c r="AU233" s="550"/>
      <c r="AV233" s="550"/>
      <c r="AW233" s="549"/>
      <c r="AX233" s="550"/>
      <c r="AY233" s="550"/>
      <c r="AZ233" s="549"/>
      <c r="BA233" s="550"/>
      <c r="BB233" s="550"/>
      <c r="BC233" s="550"/>
    </row>
    <row r="234" spans="1:55" s="519" customFormat="1">
      <c r="A234" s="531" t="str">
        <f t="shared" si="24"/>
        <v>CP</v>
      </c>
      <c r="B234" s="50" t="str">
        <f t="shared" si="25"/>
        <v>Div12</v>
      </c>
      <c r="C234" s="50" t="s">
        <v>266</v>
      </c>
      <c r="D234" s="532" t="s">
        <v>132</v>
      </c>
      <c r="E234" s="50" t="s">
        <v>53</v>
      </c>
      <c r="F234" s="535" t="str">
        <f>R.14MuniDevName2</f>
        <v xml:space="preserve"> </v>
      </c>
      <c r="G234" s="543">
        <f>R.14MuniDevHrs2</f>
        <v>0</v>
      </c>
      <c r="H234" s="544">
        <f>Table3[[#This Row],[Hrs Rank]]</f>
        <v>0</v>
      </c>
      <c r="I234" s="534">
        <f t="shared" si="22"/>
        <v>0</v>
      </c>
      <c r="J234" s="534">
        <f t="shared" si="23"/>
        <v>0</v>
      </c>
      <c r="K234" s="551"/>
      <c r="L234" s="551"/>
      <c r="M234" s="547" t="s">
        <v>228</v>
      </c>
      <c r="N234" s="547" t="s">
        <v>228</v>
      </c>
      <c r="O234" s="548"/>
      <c r="P234" s="549"/>
      <c r="Q234" s="550"/>
      <c r="R234" s="550"/>
      <c r="S234" s="549"/>
      <c r="T234" s="550"/>
      <c r="U234" s="550"/>
      <c r="V234" s="549"/>
      <c r="W234" s="550"/>
      <c r="X234" s="550"/>
      <c r="Y234" s="549"/>
      <c r="Z234" s="550"/>
      <c r="AA234" s="550"/>
      <c r="AB234" s="549"/>
      <c r="AC234" s="550"/>
      <c r="AD234" s="550"/>
      <c r="AE234" s="549"/>
      <c r="AF234" s="550"/>
      <c r="AG234" s="550"/>
      <c r="AH234" s="549"/>
      <c r="AI234" s="550"/>
      <c r="AJ234" s="550"/>
      <c r="AK234" s="549"/>
      <c r="AL234" s="550"/>
      <c r="AM234" s="550"/>
      <c r="AN234" s="549"/>
      <c r="AO234" s="550"/>
      <c r="AP234" s="550"/>
      <c r="AQ234" s="549"/>
      <c r="AR234" s="550"/>
      <c r="AS234" s="550"/>
      <c r="AT234" s="549"/>
      <c r="AU234" s="550"/>
      <c r="AV234" s="550"/>
      <c r="AW234" s="549"/>
      <c r="AX234" s="550"/>
      <c r="AY234" s="550"/>
      <c r="AZ234" s="549"/>
      <c r="BA234" s="550"/>
      <c r="BB234" s="550"/>
      <c r="BC234" s="550"/>
    </row>
    <row r="235" spans="1:55" s="519" customFormat="1">
      <c r="A235" s="531" t="str">
        <f t="shared" si="24"/>
        <v>CP</v>
      </c>
      <c r="B235" s="50" t="str">
        <f t="shared" si="25"/>
        <v>Div12</v>
      </c>
      <c r="C235" s="50" t="s">
        <v>266</v>
      </c>
      <c r="D235" s="532" t="s">
        <v>132</v>
      </c>
      <c r="E235" s="50" t="s">
        <v>53</v>
      </c>
      <c r="F235" s="535" t="str">
        <f>R.14MuniDevName3</f>
        <v xml:space="preserve"> </v>
      </c>
      <c r="G235" s="543">
        <f>R.14MuniDevHrs3</f>
        <v>0</v>
      </c>
      <c r="H235" s="544">
        <f>Table3[[#This Row],[Hrs Rank]]</f>
        <v>0</v>
      </c>
      <c r="I235" s="534">
        <f t="shared" si="22"/>
        <v>0</v>
      </c>
      <c r="J235" s="534">
        <f t="shared" si="23"/>
        <v>0</v>
      </c>
      <c r="K235" s="551"/>
      <c r="L235" s="551"/>
      <c r="M235" s="547" t="s">
        <v>228</v>
      </c>
      <c r="N235" s="547" t="s">
        <v>228</v>
      </c>
      <c r="O235" s="548"/>
      <c r="P235" s="549"/>
      <c r="Q235" s="550"/>
      <c r="R235" s="550"/>
      <c r="S235" s="549"/>
      <c r="T235" s="550"/>
      <c r="U235" s="550"/>
      <c r="V235" s="549"/>
      <c r="W235" s="550"/>
      <c r="X235" s="550"/>
      <c r="Y235" s="549"/>
      <c r="Z235" s="550"/>
      <c r="AA235" s="550"/>
      <c r="AB235" s="549"/>
      <c r="AC235" s="550"/>
      <c r="AD235" s="550"/>
      <c r="AE235" s="549"/>
      <c r="AF235" s="550"/>
      <c r="AG235" s="550"/>
      <c r="AH235" s="549"/>
      <c r="AI235" s="550"/>
      <c r="AJ235" s="550"/>
      <c r="AK235" s="549"/>
      <c r="AL235" s="550"/>
      <c r="AM235" s="550"/>
      <c r="AN235" s="549"/>
      <c r="AO235" s="550"/>
      <c r="AP235" s="550"/>
      <c r="AQ235" s="549"/>
      <c r="AR235" s="550"/>
      <c r="AS235" s="550"/>
      <c r="AT235" s="549"/>
      <c r="AU235" s="550"/>
      <c r="AV235" s="550"/>
      <c r="AW235" s="549"/>
      <c r="AX235" s="550"/>
      <c r="AY235" s="550"/>
      <c r="AZ235" s="549"/>
      <c r="BA235" s="550"/>
      <c r="BB235" s="550"/>
      <c r="BC235" s="550"/>
    </row>
    <row r="236" spans="1:55" s="519" customFormat="1">
      <c r="A236" s="531" t="str">
        <f t="shared" si="24"/>
        <v>CP</v>
      </c>
      <c r="B236" s="50" t="str">
        <f t="shared" si="25"/>
        <v>Div12</v>
      </c>
      <c r="C236" s="50" t="s">
        <v>266</v>
      </c>
      <c r="D236" s="532" t="s">
        <v>132</v>
      </c>
      <c r="E236" s="50" t="s">
        <v>53</v>
      </c>
      <c r="F236" s="535" t="str">
        <f>R.14MuniDevName4</f>
        <v xml:space="preserve"> </v>
      </c>
      <c r="G236" s="543">
        <f>R.14MuniDevHrs4</f>
        <v>0</v>
      </c>
      <c r="H236" s="544">
        <f>Table3[[#This Row],[Hrs Rank]]</f>
        <v>0</v>
      </c>
      <c r="I236" s="534">
        <f t="shared" si="22"/>
        <v>0</v>
      </c>
      <c r="J236" s="534">
        <f t="shared" si="23"/>
        <v>0</v>
      </c>
      <c r="K236" s="551"/>
      <c r="L236" s="551"/>
      <c r="M236" s="547" t="s">
        <v>228</v>
      </c>
      <c r="N236" s="547" t="s">
        <v>228</v>
      </c>
      <c r="O236" s="548"/>
      <c r="P236" s="549"/>
      <c r="Q236" s="550"/>
      <c r="R236" s="550"/>
      <c r="S236" s="549"/>
      <c r="T236" s="550"/>
      <c r="U236" s="550"/>
      <c r="V236" s="549"/>
      <c r="W236" s="550"/>
      <c r="X236" s="550"/>
      <c r="Y236" s="549"/>
      <c r="Z236" s="550"/>
      <c r="AA236" s="550"/>
      <c r="AB236" s="549"/>
      <c r="AC236" s="550"/>
      <c r="AD236" s="550"/>
      <c r="AE236" s="549"/>
      <c r="AF236" s="550"/>
      <c r="AG236" s="550"/>
      <c r="AH236" s="549"/>
      <c r="AI236" s="550"/>
      <c r="AJ236" s="550"/>
      <c r="AK236" s="549"/>
      <c r="AL236" s="550"/>
      <c r="AM236" s="550"/>
      <c r="AN236" s="549"/>
      <c r="AO236" s="550"/>
      <c r="AP236" s="550"/>
      <c r="AQ236" s="549"/>
      <c r="AR236" s="550"/>
      <c r="AS236" s="550"/>
      <c r="AT236" s="549"/>
      <c r="AU236" s="550"/>
      <c r="AV236" s="550"/>
      <c r="AW236" s="549"/>
      <c r="AX236" s="550"/>
      <c r="AY236" s="550"/>
      <c r="AZ236" s="549"/>
      <c r="BA236" s="550"/>
      <c r="BB236" s="550"/>
      <c r="BC236" s="550"/>
    </row>
    <row r="237" spans="1:55" s="519" customFormat="1">
      <c r="A237" s="531" t="str">
        <f t="shared" si="24"/>
        <v>CP</v>
      </c>
      <c r="B237" s="50" t="str">
        <f t="shared" si="25"/>
        <v>Div12</v>
      </c>
      <c r="C237" s="50" t="s">
        <v>266</v>
      </c>
      <c r="D237" s="532" t="s">
        <v>132</v>
      </c>
      <c r="E237" s="50" t="s">
        <v>52</v>
      </c>
      <c r="F237" s="535" t="str">
        <f>R.14MuniImpName1</f>
        <v xml:space="preserve"> </v>
      </c>
      <c r="G237" s="543">
        <f>R.14MuniImpHrs1</f>
        <v>0</v>
      </c>
      <c r="H237" s="544">
        <f>Table3[[#This Row],[Hrs Rank]]</f>
        <v>0</v>
      </c>
      <c r="I237" s="534">
        <f t="shared" si="22"/>
        <v>0</v>
      </c>
      <c r="J237" s="534">
        <f t="shared" si="23"/>
        <v>0</v>
      </c>
      <c r="K237" s="551"/>
      <c r="L237" s="551"/>
      <c r="M237" s="547" t="s">
        <v>228</v>
      </c>
      <c r="N237" s="547" t="s">
        <v>228</v>
      </c>
      <c r="O237" s="548"/>
      <c r="P237" s="549"/>
      <c r="Q237" s="550"/>
      <c r="R237" s="550"/>
      <c r="S237" s="549"/>
      <c r="T237" s="550"/>
      <c r="U237" s="550"/>
      <c r="V237" s="549"/>
      <c r="W237" s="550"/>
      <c r="X237" s="550"/>
      <c r="Y237" s="549"/>
      <c r="Z237" s="550"/>
      <c r="AA237" s="550"/>
      <c r="AB237" s="549"/>
      <c r="AC237" s="550"/>
      <c r="AD237" s="550"/>
      <c r="AE237" s="549"/>
      <c r="AF237" s="550"/>
      <c r="AG237" s="550"/>
      <c r="AH237" s="549"/>
      <c r="AI237" s="550"/>
      <c r="AJ237" s="550"/>
      <c r="AK237" s="549"/>
      <c r="AL237" s="550"/>
      <c r="AM237" s="550"/>
      <c r="AN237" s="549"/>
      <c r="AO237" s="550"/>
      <c r="AP237" s="550"/>
      <c r="AQ237" s="549"/>
      <c r="AR237" s="550"/>
      <c r="AS237" s="550"/>
      <c r="AT237" s="549"/>
      <c r="AU237" s="550"/>
      <c r="AV237" s="550"/>
      <c r="AW237" s="549"/>
      <c r="AX237" s="550"/>
      <c r="AY237" s="550"/>
      <c r="AZ237" s="549"/>
      <c r="BA237" s="550"/>
      <c r="BB237" s="550"/>
      <c r="BC237" s="550"/>
    </row>
    <row r="238" spans="1:55" s="519" customFormat="1">
      <c r="A238" s="531" t="str">
        <f t="shared" si="24"/>
        <v>CP</v>
      </c>
      <c r="B238" s="50" t="str">
        <f t="shared" si="25"/>
        <v>Div12</v>
      </c>
      <c r="C238" s="50" t="s">
        <v>266</v>
      </c>
      <c r="D238" s="532" t="s">
        <v>132</v>
      </c>
      <c r="E238" s="50" t="s">
        <v>52</v>
      </c>
      <c r="F238" s="535" t="str">
        <f>R.14MuniImpName2</f>
        <v xml:space="preserve"> </v>
      </c>
      <c r="G238" s="543">
        <f>R.14MuniImpHrs2</f>
        <v>0</v>
      </c>
      <c r="H238" s="544">
        <f>Table3[[#This Row],[Hrs Rank]]</f>
        <v>0</v>
      </c>
      <c r="I238" s="534">
        <f t="shared" si="22"/>
        <v>0</v>
      </c>
      <c r="J238" s="534">
        <f t="shared" si="23"/>
        <v>0</v>
      </c>
      <c r="K238" s="551"/>
      <c r="L238" s="551"/>
      <c r="M238" s="547" t="s">
        <v>228</v>
      </c>
      <c r="N238" s="547" t="s">
        <v>228</v>
      </c>
      <c r="O238" s="548"/>
      <c r="P238" s="549"/>
      <c r="Q238" s="550"/>
      <c r="R238" s="550"/>
      <c r="S238" s="549"/>
      <c r="T238" s="550"/>
      <c r="U238" s="550"/>
      <c r="V238" s="549"/>
      <c r="W238" s="550"/>
      <c r="X238" s="550"/>
      <c r="Y238" s="549"/>
      <c r="Z238" s="550"/>
      <c r="AA238" s="550"/>
      <c r="AB238" s="549"/>
      <c r="AC238" s="550"/>
      <c r="AD238" s="550"/>
      <c r="AE238" s="549"/>
      <c r="AF238" s="550"/>
      <c r="AG238" s="550"/>
      <c r="AH238" s="549"/>
      <c r="AI238" s="550"/>
      <c r="AJ238" s="550"/>
      <c r="AK238" s="549"/>
      <c r="AL238" s="550"/>
      <c r="AM238" s="550"/>
      <c r="AN238" s="549"/>
      <c r="AO238" s="550"/>
      <c r="AP238" s="550"/>
      <c r="AQ238" s="549"/>
      <c r="AR238" s="550"/>
      <c r="AS238" s="550"/>
      <c r="AT238" s="549"/>
      <c r="AU238" s="550"/>
      <c r="AV238" s="550"/>
      <c r="AW238" s="549"/>
      <c r="AX238" s="550"/>
      <c r="AY238" s="550"/>
      <c r="AZ238" s="549"/>
      <c r="BA238" s="550"/>
      <c r="BB238" s="550"/>
      <c r="BC238" s="550"/>
    </row>
    <row r="239" spans="1:55" s="519" customFormat="1">
      <c r="A239" s="531" t="str">
        <f t="shared" si="24"/>
        <v>CP</v>
      </c>
      <c r="B239" s="50" t="str">
        <f t="shared" si="25"/>
        <v>Div12</v>
      </c>
      <c r="C239" s="50" t="s">
        <v>266</v>
      </c>
      <c r="D239" s="532" t="s">
        <v>132</v>
      </c>
      <c r="E239" s="50" t="s">
        <v>52</v>
      </c>
      <c r="F239" s="535" t="str">
        <f>R.14MuniImpName3</f>
        <v xml:space="preserve"> </v>
      </c>
      <c r="G239" s="543">
        <f>R.14MuniImpHrs3</f>
        <v>0</v>
      </c>
      <c r="H239" s="544">
        <f>Table3[[#This Row],[Hrs Rank]]</f>
        <v>0</v>
      </c>
      <c r="I239" s="534">
        <f t="shared" si="22"/>
        <v>0</v>
      </c>
      <c r="J239" s="534">
        <f t="shared" si="23"/>
        <v>0</v>
      </c>
      <c r="K239" s="551"/>
      <c r="L239" s="551"/>
      <c r="M239" s="547" t="s">
        <v>228</v>
      </c>
      <c r="N239" s="547" t="s">
        <v>228</v>
      </c>
      <c r="O239" s="548"/>
      <c r="P239" s="549"/>
      <c r="Q239" s="550"/>
      <c r="R239" s="550"/>
      <c r="S239" s="549"/>
      <c r="T239" s="550"/>
      <c r="U239" s="550"/>
      <c r="V239" s="549"/>
      <c r="W239" s="550"/>
      <c r="X239" s="550"/>
      <c r="Y239" s="549"/>
      <c r="Z239" s="550"/>
      <c r="AA239" s="550"/>
      <c r="AB239" s="549"/>
      <c r="AC239" s="550"/>
      <c r="AD239" s="550"/>
      <c r="AE239" s="549"/>
      <c r="AF239" s="550"/>
      <c r="AG239" s="550"/>
      <c r="AH239" s="549"/>
      <c r="AI239" s="550"/>
      <c r="AJ239" s="550"/>
      <c r="AK239" s="549"/>
      <c r="AL239" s="550"/>
      <c r="AM239" s="550"/>
      <c r="AN239" s="549"/>
      <c r="AO239" s="550"/>
      <c r="AP239" s="550"/>
      <c r="AQ239" s="549"/>
      <c r="AR239" s="550"/>
      <c r="AS239" s="550"/>
      <c r="AT239" s="549"/>
      <c r="AU239" s="550"/>
      <c r="AV239" s="550"/>
      <c r="AW239" s="549"/>
      <c r="AX239" s="550"/>
      <c r="AY239" s="550"/>
      <c r="AZ239" s="549"/>
      <c r="BA239" s="550"/>
      <c r="BB239" s="550"/>
      <c r="BC239" s="550"/>
    </row>
    <row r="240" spans="1:55" s="519" customFormat="1">
      <c r="A240" s="531" t="str">
        <f t="shared" si="24"/>
        <v>CP</v>
      </c>
      <c r="B240" s="50" t="str">
        <f t="shared" si="25"/>
        <v>Div12</v>
      </c>
      <c r="C240" s="50" t="s">
        <v>266</v>
      </c>
      <c r="D240" s="532" t="s">
        <v>132</v>
      </c>
      <c r="E240" s="50" t="s">
        <v>52</v>
      </c>
      <c r="F240" s="535" t="str">
        <f>R.14MuniImpName4</f>
        <v xml:space="preserve"> </v>
      </c>
      <c r="G240" s="543">
        <f>R.14MuniImpHrs4</f>
        <v>0</v>
      </c>
      <c r="H240" s="544">
        <f>Table3[[#This Row],[Hrs Rank]]</f>
        <v>0</v>
      </c>
      <c r="I240" s="534">
        <f t="shared" si="22"/>
        <v>0</v>
      </c>
      <c r="J240" s="534">
        <f t="shared" si="23"/>
        <v>0</v>
      </c>
      <c r="K240" s="551"/>
      <c r="L240" s="551"/>
      <c r="M240" s="547" t="s">
        <v>228</v>
      </c>
      <c r="N240" s="547" t="s">
        <v>228</v>
      </c>
      <c r="O240" s="548"/>
      <c r="P240" s="549"/>
      <c r="Q240" s="550"/>
      <c r="R240" s="550"/>
      <c r="S240" s="549"/>
      <c r="T240" s="550"/>
      <c r="U240" s="550"/>
      <c r="V240" s="549"/>
      <c r="W240" s="550"/>
      <c r="X240" s="550"/>
      <c r="Y240" s="549"/>
      <c r="Z240" s="550"/>
      <c r="AA240" s="550"/>
      <c r="AB240" s="549"/>
      <c r="AC240" s="550"/>
      <c r="AD240" s="550"/>
      <c r="AE240" s="549"/>
      <c r="AF240" s="550"/>
      <c r="AG240" s="550"/>
      <c r="AH240" s="549"/>
      <c r="AI240" s="550"/>
      <c r="AJ240" s="550"/>
      <c r="AK240" s="549"/>
      <c r="AL240" s="550"/>
      <c r="AM240" s="550"/>
      <c r="AN240" s="549"/>
      <c r="AO240" s="550"/>
      <c r="AP240" s="550"/>
      <c r="AQ240" s="549"/>
      <c r="AR240" s="550"/>
      <c r="AS240" s="550"/>
      <c r="AT240" s="549"/>
      <c r="AU240" s="550"/>
      <c r="AV240" s="550"/>
      <c r="AW240" s="549"/>
      <c r="AX240" s="550"/>
      <c r="AY240" s="550"/>
      <c r="AZ240" s="549"/>
      <c r="BA240" s="550"/>
      <c r="BB240" s="550"/>
      <c r="BC240" s="550"/>
    </row>
    <row r="241" spans="1:55" s="519" customFormat="1">
      <c r="A241" s="531" t="str">
        <f t="shared" si="24"/>
        <v>CP</v>
      </c>
      <c r="B241" s="50" t="str">
        <f t="shared" si="25"/>
        <v>Div12</v>
      </c>
      <c r="C241" s="50" t="s">
        <v>266</v>
      </c>
      <c r="D241" s="532" t="s">
        <v>133</v>
      </c>
      <c r="E241" s="50" t="s">
        <v>53</v>
      </c>
      <c r="F241" s="535">
        <f>R.14CountyDevName1</f>
        <v>0</v>
      </c>
      <c r="G241" s="543">
        <f>R.14CountyDevHrs1</f>
        <v>0</v>
      </c>
      <c r="H241" s="544">
        <f>Table3[[#This Row],[Hrs Rank]]</f>
        <v>0</v>
      </c>
      <c r="I241" s="534">
        <f t="shared" si="22"/>
        <v>0</v>
      </c>
      <c r="J241" s="534">
        <f t="shared" si="23"/>
        <v>0</v>
      </c>
      <c r="K241" s="551"/>
      <c r="L241" s="551"/>
      <c r="M241" s="547" t="s">
        <v>228</v>
      </c>
      <c r="N241" s="547" t="s">
        <v>228</v>
      </c>
      <c r="O241" s="548"/>
      <c r="P241" s="549"/>
      <c r="Q241" s="550"/>
      <c r="R241" s="550"/>
      <c r="S241" s="549"/>
      <c r="T241" s="550"/>
      <c r="U241" s="550"/>
      <c r="V241" s="549"/>
      <c r="W241" s="550"/>
      <c r="X241" s="550"/>
      <c r="Y241" s="549"/>
      <c r="Z241" s="550"/>
      <c r="AA241" s="550"/>
      <c r="AB241" s="549"/>
      <c r="AC241" s="550"/>
      <c r="AD241" s="550"/>
      <c r="AE241" s="549"/>
      <c r="AF241" s="550"/>
      <c r="AG241" s="550"/>
      <c r="AH241" s="549"/>
      <c r="AI241" s="550"/>
      <c r="AJ241" s="550"/>
      <c r="AK241" s="549"/>
      <c r="AL241" s="550"/>
      <c r="AM241" s="550"/>
      <c r="AN241" s="549"/>
      <c r="AO241" s="550"/>
      <c r="AP241" s="550"/>
      <c r="AQ241" s="549"/>
      <c r="AR241" s="550"/>
      <c r="AS241" s="550"/>
      <c r="AT241" s="549"/>
      <c r="AU241" s="550"/>
      <c r="AV241" s="550"/>
      <c r="AW241" s="549"/>
      <c r="AX241" s="550"/>
      <c r="AY241" s="550"/>
      <c r="AZ241" s="549"/>
      <c r="BA241" s="550"/>
      <c r="BB241" s="550"/>
      <c r="BC241" s="550"/>
    </row>
    <row r="242" spans="1:55" s="519" customFormat="1">
      <c r="A242" s="531" t="str">
        <f t="shared" si="24"/>
        <v>CP</v>
      </c>
      <c r="B242" s="50" t="str">
        <f t="shared" si="25"/>
        <v>Div12</v>
      </c>
      <c r="C242" s="50" t="s">
        <v>266</v>
      </c>
      <c r="D242" s="532" t="s">
        <v>133</v>
      </c>
      <c r="E242" s="50" t="s">
        <v>53</v>
      </c>
      <c r="F242" s="535" t="str">
        <f>R.14CountyDevName2</f>
        <v xml:space="preserve"> </v>
      </c>
      <c r="G242" s="543">
        <f>R.14CountyDevHrs2</f>
        <v>0</v>
      </c>
      <c r="H242" s="544">
        <f>Table3[[#This Row],[Hrs Rank]]</f>
        <v>0</v>
      </c>
      <c r="I242" s="534">
        <f t="shared" si="22"/>
        <v>0</v>
      </c>
      <c r="J242" s="534">
        <f t="shared" si="23"/>
        <v>0</v>
      </c>
      <c r="K242" s="551"/>
      <c r="L242" s="551"/>
      <c r="M242" s="547" t="s">
        <v>228</v>
      </c>
      <c r="N242" s="547" t="s">
        <v>228</v>
      </c>
      <c r="O242" s="548"/>
      <c r="P242" s="549"/>
      <c r="Q242" s="550"/>
      <c r="R242" s="550"/>
      <c r="S242" s="549"/>
      <c r="T242" s="550"/>
      <c r="U242" s="550"/>
      <c r="V242" s="549"/>
      <c r="W242" s="550"/>
      <c r="X242" s="550"/>
      <c r="Y242" s="549"/>
      <c r="Z242" s="550"/>
      <c r="AA242" s="550"/>
      <c r="AB242" s="549"/>
      <c r="AC242" s="550"/>
      <c r="AD242" s="550"/>
      <c r="AE242" s="549"/>
      <c r="AF242" s="550"/>
      <c r="AG242" s="550"/>
      <c r="AH242" s="549"/>
      <c r="AI242" s="550"/>
      <c r="AJ242" s="550"/>
      <c r="AK242" s="549"/>
      <c r="AL242" s="550"/>
      <c r="AM242" s="550"/>
      <c r="AN242" s="549"/>
      <c r="AO242" s="550"/>
      <c r="AP242" s="550"/>
      <c r="AQ242" s="549"/>
      <c r="AR242" s="550"/>
      <c r="AS242" s="550"/>
      <c r="AT242" s="549"/>
      <c r="AU242" s="550"/>
      <c r="AV242" s="550"/>
      <c r="AW242" s="549"/>
      <c r="AX242" s="550"/>
      <c r="AY242" s="550"/>
      <c r="AZ242" s="549"/>
      <c r="BA242" s="550"/>
      <c r="BB242" s="550"/>
      <c r="BC242" s="550"/>
    </row>
    <row r="243" spans="1:55" s="519" customFormat="1">
      <c r="A243" s="531" t="str">
        <f t="shared" si="24"/>
        <v>CP</v>
      </c>
      <c r="B243" s="50" t="str">
        <f t="shared" si="25"/>
        <v>Div12</v>
      </c>
      <c r="C243" s="50" t="s">
        <v>266</v>
      </c>
      <c r="D243" s="532" t="s">
        <v>133</v>
      </c>
      <c r="E243" s="50" t="s">
        <v>53</v>
      </c>
      <c r="F243" s="535" t="str">
        <f>R.14CountyDevName3</f>
        <v xml:space="preserve"> </v>
      </c>
      <c r="G243" s="543">
        <f>R.14CountyDevHrs3</f>
        <v>0</v>
      </c>
      <c r="H243" s="544">
        <f>Table3[[#This Row],[Hrs Rank]]</f>
        <v>0</v>
      </c>
      <c r="I243" s="534">
        <f t="shared" si="22"/>
        <v>0</v>
      </c>
      <c r="J243" s="534">
        <f t="shared" si="23"/>
        <v>0</v>
      </c>
      <c r="K243" s="551"/>
      <c r="L243" s="551"/>
      <c r="M243" s="547" t="s">
        <v>228</v>
      </c>
      <c r="N243" s="547" t="s">
        <v>228</v>
      </c>
      <c r="O243" s="548"/>
      <c r="P243" s="549"/>
      <c r="Q243" s="550"/>
      <c r="R243" s="550"/>
      <c r="S243" s="549"/>
      <c r="T243" s="550"/>
      <c r="U243" s="550"/>
      <c r="V243" s="549"/>
      <c r="W243" s="550"/>
      <c r="X243" s="550"/>
      <c r="Y243" s="549"/>
      <c r="Z243" s="550"/>
      <c r="AA243" s="550"/>
      <c r="AB243" s="549"/>
      <c r="AC243" s="550"/>
      <c r="AD243" s="550"/>
      <c r="AE243" s="549"/>
      <c r="AF243" s="550"/>
      <c r="AG243" s="550"/>
      <c r="AH243" s="549"/>
      <c r="AI243" s="550"/>
      <c r="AJ243" s="550"/>
      <c r="AK243" s="549"/>
      <c r="AL243" s="550"/>
      <c r="AM243" s="550"/>
      <c r="AN243" s="549"/>
      <c r="AO243" s="550"/>
      <c r="AP243" s="550"/>
      <c r="AQ243" s="549"/>
      <c r="AR243" s="550"/>
      <c r="AS243" s="550"/>
      <c r="AT243" s="549"/>
      <c r="AU243" s="550"/>
      <c r="AV243" s="550"/>
      <c r="AW243" s="549"/>
      <c r="AX243" s="550"/>
      <c r="AY243" s="550"/>
      <c r="AZ243" s="549"/>
      <c r="BA243" s="550"/>
      <c r="BB243" s="550"/>
      <c r="BC243" s="550"/>
    </row>
    <row r="244" spans="1:55" s="519" customFormat="1">
      <c r="A244" s="531" t="str">
        <f t="shared" si="24"/>
        <v>CP</v>
      </c>
      <c r="B244" s="50" t="str">
        <f t="shared" si="25"/>
        <v>Div12</v>
      </c>
      <c r="C244" s="50" t="s">
        <v>266</v>
      </c>
      <c r="D244" s="532" t="s">
        <v>133</v>
      </c>
      <c r="E244" s="50" t="s">
        <v>53</v>
      </c>
      <c r="F244" s="535" t="str">
        <f>R.14CountyDevName4</f>
        <v xml:space="preserve"> </v>
      </c>
      <c r="G244" s="543">
        <f>R.14CountyDevHrs4</f>
        <v>0</v>
      </c>
      <c r="H244" s="544">
        <f>Table3[[#This Row],[Hrs Rank]]</f>
        <v>0</v>
      </c>
      <c r="I244" s="534">
        <f t="shared" si="22"/>
        <v>0</v>
      </c>
      <c r="J244" s="534">
        <f t="shared" si="23"/>
        <v>0</v>
      </c>
      <c r="K244" s="551"/>
      <c r="L244" s="551"/>
      <c r="M244" s="547" t="s">
        <v>228</v>
      </c>
      <c r="N244" s="547" t="s">
        <v>228</v>
      </c>
      <c r="O244" s="548"/>
      <c r="P244" s="549"/>
      <c r="Q244" s="550"/>
      <c r="R244" s="550"/>
      <c r="S244" s="549"/>
      <c r="T244" s="550"/>
      <c r="U244" s="550"/>
      <c r="V244" s="549"/>
      <c r="W244" s="550"/>
      <c r="X244" s="550"/>
      <c r="Y244" s="549"/>
      <c r="Z244" s="550"/>
      <c r="AA244" s="550"/>
      <c r="AB244" s="549"/>
      <c r="AC244" s="550"/>
      <c r="AD244" s="550"/>
      <c r="AE244" s="549"/>
      <c r="AF244" s="550"/>
      <c r="AG244" s="550"/>
      <c r="AH244" s="549"/>
      <c r="AI244" s="550"/>
      <c r="AJ244" s="550"/>
      <c r="AK244" s="549"/>
      <c r="AL244" s="550"/>
      <c r="AM244" s="550"/>
      <c r="AN244" s="549"/>
      <c r="AO244" s="550"/>
      <c r="AP244" s="550"/>
      <c r="AQ244" s="549"/>
      <c r="AR244" s="550"/>
      <c r="AS244" s="550"/>
      <c r="AT244" s="549"/>
      <c r="AU244" s="550"/>
      <c r="AV244" s="550"/>
      <c r="AW244" s="549"/>
      <c r="AX244" s="550"/>
      <c r="AY244" s="550"/>
      <c r="AZ244" s="549"/>
      <c r="BA244" s="550"/>
      <c r="BB244" s="550"/>
      <c r="BC244" s="550"/>
    </row>
    <row r="245" spans="1:55" s="519" customFormat="1">
      <c r="A245" s="531" t="str">
        <f t="shared" si="24"/>
        <v>CP</v>
      </c>
      <c r="B245" s="50" t="str">
        <f t="shared" si="25"/>
        <v>Div12</v>
      </c>
      <c r="C245" s="50" t="s">
        <v>266</v>
      </c>
      <c r="D245" s="532" t="s">
        <v>133</v>
      </c>
      <c r="E245" s="50" t="s">
        <v>52</v>
      </c>
      <c r="F245" s="535">
        <f>R.14CountyImpName1</f>
        <v>0</v>
      </c>
      <c r="G245" s="543">
        <f>R.14CountyImpHrs1</f>
        <v>0</v>
      </c>
      <c r="H245" s="544">
        <f>Table3[[#This Row],[Hrs Rank]]</f>
        <v>0</v>
      </c>
      <c r="I245" s="534">
        <f t="shared" si="22"/>
        <v>0</v>
      </c>
      <c r="J245" s="534">
        <f t="shared" si="23"/>
        <v>0</v>
      </c>
      <c r="K245" s="551"/>
      <c r="L245" s="551"/>
      <c r="M245" s="547" t="s">
        <v>228</v>
      </c>
      <c r="N245" s="547" t="s">
        <v>228</v>
      </c>
      <c r="O245" s="548"/>
      <c r="P245" s="549"/>
      <c r="Q245" s="550"/>
      <c r="R245" s="550"/>
      <c r="S245" s="549"/>
      <c r="T245" s="550"/>
      <c r="U245" s="550"/>
      <c r="V245" s="549"/>
      <c r="W245" s="550"/>
      <c r="X245" s="550"/>
      <c r="Y245" s="549"/>
      <c r="Z245" s="550"/>
      <c r="AA245" s="550"/>
      <c r="AB245" s="549"/>
      <c r="AC245" s="550"/>
      <c r="AD245" s="550"/>
      <c r="AE245" s="549"/>
      <c r="AF245" s="550"/>
      <c r="AG245" s="550"/>
      <c r="AH245" s="549"/>
      <c r="AI245" s="550"/>
      <c r="AJ245" s="550"/>
      <c r="AK245" s="549"/>
      <c r="AL245" s="550"/>
      <c r="AM245" s="550"/>
      <c r="AN245" s="549"/>
      <c r="AO245" s="550"/>
      <c r="AP245" s="550"/>
      <c r="AQ245" s="549"/>
      <c r="AR245" s="550"/>
      <c r="AS245" s="550"/>
      <c r="AT245" s="549"/>
      <c r="AU245" s="550"/>
      <c r="AV245" s="550"/>
      <c r="AW245" s="549"/>
      <c r="AX245" s="550"/>
      <c r="AY245" s="550"/>
      <c r="AZ245" s="549"/>
      <c r="BA245" s="550"/>
      <c r="BB245" s="550"/>
      <c r="BC245" s="550"/>
    </row>
    <row r="246" spans="1:55" s="519" customFormat="1">
      <c r="A246" s="531" t="str">
        <f t="shared" si="24"/>
        <v>CP</v>
      </c>
      <c r="B246" s="50" t="str">
        <f t="shared" si="25"/>
        <v>Div12</v>
      </c>
      <c r="C246" s="50" t="s">
        <v>266</v>
      </c>
      <c r="D246" s="532" t="s">
        <v>133</v>
      </c>
      <c r="E246" s="50" t="s">
        <v>52</v>
      </c>
      <c r="F246" s="535" t="str">
        <f>R.14CountyImpName2</f>
        <v xml:space="preserve"> </v>
      </c>
      <c r="G246" s="543">
        <f>R.14CountyImpHrs2</f>
        <v>0</v>
      </c>
      <c r="H246" s="544">
        <f>Table3[[#This Row],[Hrs Rank]]</f>
        <v>0</v>
      </c>
      <c r="I246" s="534">
        <f t="shared" si="22"/>
        <v>0</v>
      </c>
      <c r="J246" s="534">
        <f t="shared" si="23"/>
        <v>0</v>
      </c>
      <c r="K246" s="551"/>
      <c r="L246" s="551"/>
      <c r="M246" s="547" t="s">
        <v>228</v>
      </c>
      <c r="N246" s="547" t="s">
        <v>228</v>
      </c>
      <c r="O246" s="548"/>
      <c r="P246" s="549"/>
      <c r="Q246" s="550"/>
      <c r="R246" s="550"/>
      <c r="S246" s="549"/>
      <c r="T246" s="550"/>
      <c r="U246" s="550"/>
      <c r="V246" s="549"/>
      <c r="W246" s="550"/>
      <c r="X246" s="550"/>
      <c r="Y246" s="549"/>
      <c r="Z246" s="550"/>
      <c r="AA246" s="550"/>
      <c r="AB246" s="549"/>
      <c r="AC246" s="550"/>
      <c r="AD246" s="550"/>
      <c r="AE246" s="549"/>
      <c r="AF246" s="550"/>
      <c r="AG246" s="550"/>
      <c r="AH246" s="549"/>
      <c r="AI246" s="550"/>
      <c r="AJ246" s="550"/>
      <c r="AK246" s="549"/>
      <c r="AL246" s="550"/>
      <c r="AM246" s="550"/>
      <c r="AN246" s="549"/>
      <c r="AO246" s="550"/>
      <c r="AP246" s="550"/>
      <c r="AQ246" s="549"/>
      <c r="AR246" s="550"/>
      <c r="AS246" s="550"/>
      <c r="AT246" s="549"/>
      <c r="AU246" s="550"/>
      <c r="AV246" s="550"/>
      <c r="AW246" s="549"/>
      <c r="AX246" s="550"/>
      <c r="AY246" s="550"/>
      <c r="AZ246" s="549"/>
      <c r="BA246" s="550"/>
      <c r="BB246" s="550"/>
      <c r="BC246" s="550"/>
    </row>
    <row r="247" spans="1:55" s="519" customFormat="1">
      <c r="A247" s="531" t="str">
        <f t="shared" si="24"/>
        <v>CP</v>
      </c>
      <c r="B247" s="50" t="str">
        <f t="shared" si="25"/>
        <v>Div12</v>
      </c>
      <c r="C247" s="50" t="s">
        <v>266</v>
      </c>
      <c r="D247" s="532" t="s">
        <v>133</v>
      </c>
      <c r="E247" s="50" t="s">
        <v>52</v>
      </c>
      <c r="F247" s="535" t="str">
        <f>R.14CountyImpName3</f>
        <v xml:space="preserve"> </v>
      </c>
      <c r="G247" s="543">
        <f>R.14CountyImpHrs3</f>
        <v>0</v>
      </c>
      <c r="H247" s="544">
        <f>Table3[[#This Row],[Hrs Rank]]</f>
        <v>0</v>
      </c>
      <c r="I247" s="534">
        <f t="shared" si="22"/>
        <v>0</v>
      </c>
      <c r="J247" s="534">
        <f t="shared" si="23"/>
        <v>0</v>
      </c>
      <c r="K247" s="551"/>
      <c r="L247" s="551"/>
      <c r="M247" s="547" t="s">
        <v>228</v>
      </c>
      <c r="N247" s="547" t="s">
        <v>228</v>
      </c>
      <c r="O247" s="548"/>
      <c r="P247" s="549"/>
      <c r="Q247" s="550"/>
      <c r="R247" s="550"/>
      <c r="S247" s="549"/>
      <c r="T247" s="550"/>
      <c r="U247" s="550"/>
      <c r="V247" s="549"/>
      <c r="W247" s="550"/>
      <c r="X247" s="550"/>
      <c r="Y247" s="549"/>
      <c r="Z247" s="550"/>
      <c r="AA247" s="550"/>
      <c r="AB247" s="549"/>
      <c r="AC247" s="550"/>
      <c r="AD247" s="550"/>
      <c r="AE247" s="549"/>
      <c r="AF247" s="550"/>
      <c r="AG247" s="550"/>
      <c r="AH247" s="549"/>
      <c r="AI247" s="550"/>
      <c r="AJ247" s="550"/>
      <c r="AK247" s="549"/>
      <c r="AL247" s="550"/>
      <c r="AM247" s="550"/>
      <c r="AN247" s="549"/>
      <c r="AO247" s="550"/>
      <c r="AP247" s="550"/>
      <c r="AQ247" s="549"/>
      <c r="AR247" s="550"/>
      <c r="AS247" s="550"/>
      <c r="AT247" s="549"/>
      <c r="AU247" s="550"/>
      <c r="AV247" s="550"/>
      <c r="AW247" s="549"/>
      <c r="AX247" s="550"/>
      <c r="AY247" s="550"/>
      <c r="AZ247" s="549"/>
      <c r="BA247" s="550"/>
      <c r="BB247" s="550"/>
      <c r="BC247" s="550"/>
    </row>
    <row r="248" spans="1:55" s="519" customFormat="1">
      <c r="A248" s="531" t="str">
        <f t="shared" si="24"/>
        <v>CP</v>
      </c>
      <c r="B248" s="50" t="str">
        <f t="shared" si="25"/>
        <v>Div12</v>
      </c>
      <c r="C248" s="50" t="s">
        <v>266</v>
      </c>
      <c r="D248" s="532" t="s">
        <v>133</v>
      </c>
      <c r="E248" s="50" t="s">
        <v>52</v>
      </c>
      <c r="F248" s="535" t="str">
        <f>R.14CountyImpName4</f>
        <v xml:space="preserve"> </v>
      </c>
      <c r="G248" s="543">
        <f>R.14CountyImpHrs4</f>
        <v>0</v>
      </c>
      <c r="H248" s="544">
        <f>Table3[[#This Row],[Hrs Rank]]</f>
        <v>0</v>
      </c>
      <c r="I248" s="534">
        <f t="shared" si="22"/>
        <v>0</v>
      </c>
      <c r="J248" s="534">
        <f t="shared" si="23"/>
        <v>0</v>
      </c>
      <c r="K248" s="551"/>
      <c r="L248" s="551"/>
      <c r="M248" s="547" t="s">
        <v>228</v>
      </c>
      <c r="N248" s="547" t="s">
        <v>228</v>
      </c>
      <c r="O248" s="548"/>
      <c r="P248" s="549"/>
      <c r="Q248" s="550"/>
      <c r="R248" s="550"/>
      <c r="S248" s="549"/>
      <c r="T248" s="550"/>
      <c r="U248" s="550"/>
      <c r="V248" s="549"/>
      <c r="W248" s="550"/>
      <c r="X248" s="550"/>
      <c r="Y248" s="549"/>
      <c r="Z248" s="550"/>
      <c r="AA248" s="550"/>
      <c r="AB248" s="549"/>
      <c r="AC248" s="550"/>
      <c r="AD248" s="550"/>
      <c r="AE248" s="549"/>
      <c r="AF248" s="550"/>
      <c r="AG248" s="550"/>
      <c r="AH248" s="549"/>
      <c r="AI248" s="550"/>
      <c r="AJ248" s="550"/>
      <c r="AK248" s="549"/>
      <c r="AL248" s="550"/>
      <c r="AM248" s="550"/>
      <c r="AN248" s="549"/>
      <c r="AO248" s="550"/>
      <c r="AP248" s="550"/>
      <c r="AQ248" s="549"/>
      <c r="AR248" s="550"/>
      <c r="AS248" s="550"/>
      <c r="AT248" s="549"/>
      <c r="AU248" s="550"/>
      <c r="AV248" s="550"/>
      <c r="AW248" s="549"/>
      <c r="AX248" s="550"/>
      <c r="AY248" s="550"/>
      <c r="AZ248" s="549"/>
      <c r="BA248" s="550"/>
      <c r="BB248" s="550"/>
      <c r="BC248" s="550"/>
    </row>
    <row r="249" spans="1:55" s="519" customFormat="1">
      <c r="A249" s="531" t="str">
        <f t="shared" si="24"/>
        <v>CP</v>
      </c>
      <c r="B249" s="50" t="str">
        <f t="shared" si="25"/>
        <v>Div12</v>
      </c>
      <c r="C249" s="50" t="s">
        <v>266</v>
      </c>
      <c r="D249" s="532" t="s">
        <v>134</v>
      </c>
      <c r="E249" s="50" t="s">
        <v>53</v>
      </c>
      <c r="F249" s="535">
        <f>R.14DistrictsDevName1</f>
        <v>0</v>
      </c>
      <c r="G249" s="543">
        <f>R.14DistrictsDevHrs1</f>
        <v>0</v>
      </c>
      <c r="H249" s="544">
        <f>Table3[[#This Row],[Hrs Rank]]</f>
        <v>0</v>
      </c>
      <c r="I249" s="534">
        <f t="shared" si="22"/>
        <v>0</v>
      </c>
      <c r="J249" s="534">
        <f t="shared" si="23"/>
        <v>0</v>
      </c>
      <c r="K249" s="551"/>
      <c r="L249" s="551"/>
      <c r="M249" s="547" t="s">
        <v>228</v>
      </c>
      <c r="N249" s="547" t="s">
        <v>228</v>
      </c>
      <c r="O249" s="548"/>
      <c r="P249" s="549"/>
      <c r="Q249" s="550"/>
      <c r="R249" s="550"/>
      <c r="S249" s="549"/>
      <c r="T249" s="550"/>
      <c r="U249" s="550"/>
      <c r="V249" s="549"/>
      <c r="W249" s="550"/>
      <c r="X249" s="550"/>
      <c r="Y249" s="549"/>
      <c r="Z249" s="550"/>
      <c r="AA249" s="550"/>
      <c r="AB249" s="549"/>
      <c r="AC249" s="550"/>
      <c r="AD249" s="550"/>
      <c r="AE249" s="549"/>
      <c r="AF249" s="550"/>
      <c r="AG249" s="550"/>
      <c r="AH249" s="549"/>
      <c r="AI249" s="550"/>
      <c r="AJ249" s="550"/>
      <c r="AK249" s="549"/>
      <c r="AL249" s="550"/>
      <c r="AM249" s="550"/>
      <c r="AN249" s="549"/>
      <c r="AO249" s="550"/>
      <c r="AP249" s="550"/>
      <c r="AQ249" s="549"/>
      <c r="AR249" s="550"/>
      <c r="AS249" s="550"/>
      <c r="AT249" s="549"/>
      <c r="AU249" s="550"/>
      <c r="AV249" s="550"/>
      <c r="AW249" s="549"/>
      <c r="AX249" s="550"/>
      <c r="AY249" s="550"/>
      <c r="AZ249" s="549"/>
      <c r="BA249" s="550"/>
      <c r="BB249" s="550"/>
      <c r="BC249" s="550"/>
    </row>
    <row r="250" spans="1:55" s="519" customFormat="1">
      <c r="A250" s="531" t="str">
        <f t="shared" si="24"/>
        <v>CP</v>
      </c>
      <c r="B250" s="50" t="str">
        <f t="shared" si="25"/>
        <v>Div12</v>
      </c>
      <c r="C250" s="50" t="s">
        <v>266</v>
      </c>
      <c r="D250" s="532" t="s">
        <v>134</v>
      </c>
      <c r="E250" s="50" t="s">
        <v>53</v>
      </c>
      <c r="F250" s="535" t="str">
        <f>R.14DistrictsDevName2</f>
        <v xml:space="preserve"> </v>
      </c>
      <c r="G250" s="543">
        <f>R.14DistrictsDevHrs2</f>
        <v>0</v>
      </c>
      <c r="H250" s="544">
        <f>Table3[[#This Row],[Hrs Rank]]</f>
        <v>0</v>
      </c>
      <c r="I250" s="534">
        <f t="shared" si="22"/>
        <v>0</v>
      </c>
      <c r="J250" s="534">
        <f t="shared" si="23"/>
        <v>0</v>
      </c>
      <c r="K250" s="551"/>
      <c r="L250" s="551"/>
      <c r="M250" s="547" t="s">
        <v>228</v>
      </c>
      <c r="N250" s="547" t="s">
        <v>228</v>
      </c>
      <c r="O250" s="548"/>
      <c r="P250" s="549"/>
      <c r="Q250" s="550"/>
      <c r="R250" s="550"/>
      <c r="S250" s="549"/>
      <c r="T250" s="550"/>
      <c r="U250" s="550"/>
      <c r="V250" s="549"/>
      <c r="W250" s="550"/>
      <c r="X250" s="550"/>
      <c r="Y250" s="549"/>
      <c r="Z250" s="550"/>
      <c r="AA250" s="550"/>
      <c r="AB250" s="549"/>
      <c r="AC250" s="550"/>
      <c r="AD250" s="550"/>
      <c r="AE250" s="549"/>
      <c r="AF250" s="550"/>
      <c r="AG250" s="550"/>
      <c r="AH250" s="549"/>
      <c r="AI250" s="550"/>
      <c r="AJ250" s="550"/>
      <c r="AK250" s="549"/>
      <c r="AL250" s="550"/>
      <c r="AM250" s="550"/>
      <c r="AN250" s="549"/>
      <c r="AO250" s="550"/>
      <c r="AP250" s="550"/>
      <c r="AQ250" s="549"/>
      <c r="AR250" s="550"/>
      <c r="AS250" s="550"/>
      <c r="AT250" s="549"/>
      <c r="AU250" s="550"/>
      <c r="AV250" s="550"/>
      <c r="AW250" s="549"/>
      <c r="AX250" s="550"/>
      <c r="AY250" s="550"/>
      <c r="AZ250" s="549"/>
      <c r="BA250" s="550"/>
      <c r="BB250" s="550"/>
      <c r="BC250" s="550"/>
    </row>
    <row r="251" spans="1:55" s="519" customFormat="1">
      <c r="A251" s="531" t="str">
        <f t="shared" si="24"/>
        <v>CP</v>
      </c>
      <c r="B251" s="50" t="str">
        <f t="shared" si="25"/>
        <v>Div12</v>
      </c>
      <c r="C251" s="50" t="s">
        <v>266</v>
      </c>
      <c r="D251" s="532" t="s">
        <v>134</v>
      </c>
      <c r="E251" s="50" t="s">
        <v>53</v>
      </c>
      <c r="F251" s="535" t="str">
        <f>R.14DistrictsDevName3</f>
        <v xml:space="preserve"> </v>
      </c>
      <c r="G251" s="543">
        <f>R.14DistrictsDevHrs3</f>
        <v>0</v>
      </c>
      <c r="H251" s="544">
        <f>Table3[[#This Row],[Hrs Rank]]</f>
        <v>0</v>
      </c>
      <c r="I251" s="534">
        <f t="shared" si="22"/>
        <v>0</v>
      </c>
      <c r="J251" s="534">
        <f t="shared" si="23"/>
        <v>0</v>
      </c>
      <c r="K251" s="551"/>
      <c r="L251" s="551"/>
      <c r="M251" s="547" t="s">
        <v>228</v>
      </c>
      <c r="N251" s="547" t="s">
        <v>228</v>
      </c>
      <c r="O251" s="548"/>
      <c r="P251" s="549"/>
      <c r="Q251" s="550"/>
      <c r="R251" s="550"/>
      <c r="S251" s="549"/>
      <c r="T251" s="550"/>
      <c r="U251" s="550"/>
      <c r="V251" s="549"/>
      <c r="W251" s="550"/>
      <c r="X251" s="550"/>
      <c r="Y251" s="549"/>
      <c r="Z251" s="550"/>
      <c r="AA251" s="550"/>
      <c r="AB251" s="549"/>
      <c r="AC251" s="550"/>
      <c r="AD251" s="550"/>
      <c r="AE251" s="549"/>
      <c r="AF251" s="550"/>
      <c r="AG251" s="550"/>
      <c r="AH251" s="549"/>
      <c r="AI251" s="550"/>
      <c r="AJ251" s="550"/>
      <c r="AK251" s="549"/>
      <c r="AL251" s="550"/>
      <c r="AM251" s="550"/>
      <c r="AN251" s="549"/>
      <c r="AO251" s="550"/>
      <c r="AP251" s="550"/>
      <c r="AQ251" s="549"/>
      <c r="AR251" s="550"/>
      <c r="AS251" s="550"/>
      <c r="AT251" s="549"/>
      <c r="AU251" s="550"/>
      <c r="AV251" s="550"/>
      <c r="AW251" s="549"/>
      <c r="AX251" s="550"/>
      <c r="AY251" s="550"/>
      <c r="AZ251" s="549"/>
      <c r="BA251" s="550"/>
      <c r="BB251" s="550"/>
      <c r="BC251" s="550"/>
    </row>
    <row r="252" spans="1:55" s="519" customFormat="1">
      <c r="A252" s="531" t="str">
        <f t="shared" si="24"/>
        <v>CP</v>
      </c>
      <c r="B252" s="50" t="str">
        <f t="shared" si="25"/>
        <v>Div12</v>
      </c>
      <c r="C252" s="50" t="s">
        <v>266</v>
      </c>
      <c r="D252" s="532" t="s">
        <v>134</v>
      </c>
      <c r="E252" s="50" t="s">
        <v>53</v>
      </c>
      <c r="F252" s="535" t="str">
        <f>R.14DistrictsDevName4</f>
        <v xml:space="preserve"> </v>
      </c>
      <c r="G252" s="543">
        <f>R.14DistrictsDevHrs4</f>
        <v>0</v>
      </c>
      <c r="H252" s="544">
        <f>Table3[[#This Row],[Hrs Rank]]</f>
        <v>0</v>
      </c>
      <c r="I252" s="534">
        <f t="shared" si="22"/>
        <v>0</v>
      </c>
      <c r="J252" s="534">
        <f t="shared" si="23"/>
        <v>0</v>
      </c>
      <c r="K252" s="551"/>
      <c r="L252" s="551"/>
      <c r="M252" s="547" t="s">
        <v>228</v>
      </c>
      <c r="N252" s="547" t="s">
        <v>228</v>
      </c>
      <c r="O252" s="548"/>
      <c r="P252" s="549"/>
      <c r="Q252" s="550"/>
      <c r="R252" s="550"/>
      <c r="S252" s="549"/>
      <c r="T252" s="550"/>
      <c r="U252" s="550"/>
      <c r="V252" s="549"/>
      <c r="W252" s="550"/>
      <c r="X252" s="550"/>
      <c r="Y252" s="549"/>
      <c r="Z252" s="550"/>
      <c r="AA252" s="550"/>
      <c r="AB252" s="549"/>
      <c r="AC252" s="550"/>
      <c r="AD252" s="550"/>
      <c r="AE252" s="549"/>
      <c r="AF252" s="550"/>
      <c r="AG252" s="550"/>
      <c r="AH252" s="549"/>
      <c r="AI252" s="550"/>
      <c r="AJ252" s="550"/>
      <c r="AK252" s="549"/>
      <c r="AL252" s="550"/>
      <c r="AM252" s="550"/>
      <c r="AN252" s="549"/>
      <c r="AO252" s="550"/>
      <c r="AP252" s="550"/>
      <c r="AQ252" s="549"/>
      <c r="AR252" s="550"/>
      <c r="AS252" s="550"/>
      <c r="AT252" s="549"/>
      <c r="AU252" s="550"/>
      <c r="AV252" s="550"/>
      <c r="AW252" s="549"/>
      <c r="AX252" s="550"/>
      <c r="AY252" s="550"/>
      <c r="AZ252" s="549"/>
      <c r="BA252" s="550"/>
      <c r="BB252" s="550"/>
      <c r="BC252" s="550"/>
    </row>
    <row r="253" spans="1:55" s="519" customFormat="1">
      <c r="A253" s="531" t="str">
        <f t="shared" si="24"/>
        <v>CP</v>
      </c>
      <c r="B253" s="50" t="str">
        <f t="shared" si="25"/>
        <v>Div12</v>
      </c>
      <c r="C253" s="50" t="s">
        <v>266</v>
      </c>
      <c r="D253" s="532" t="s">
        <v>134</v>
      </c>
      <c r="E253" s="50" t="s">
        <v>52</v>
      </c>
      <c r="F253" s="535">
        <f>R.14DistrictsImpName1</f>
        <v>0</v>
      </c>
      <c r="G253" s="543">
        <f>R.14DistrictsImpHrs1</f>
        <v>0</v>
      </c>
      <c r="H253" s="544">
        <f>Table3[[#This Row],[Hrs Rank]]</f>
        <v>0</v>
      </c>
      <c r="I253" s="534">
        <f t="shared" si="22"/>
        <v>0</v>
      </c>
      <c r="J253" s="534">
        <f t="shared" si="23"/>
        <v>0</v>
      </c>
      <c r="K253" s="551"/>
      <c r="L253" s="551"/>
      <c r="M253" s="547" t="s">
        <v>228</v>
      </c>
      <c r="N253" s="547" t="s">
        <v>228</v>
      </c>
      <c r="O253" s="548"/>
      <c r="P253" s="549"/>
      <c r="Q253" s="550"/>
      <c r="R253" s="550"/>
      <c r="S253" s="549"/>
      <c r="T253" s="550"/>
      <c r="U253" s="550"/>
      <c r="V253" s="549"/>
      <c r="W253" s="550"/>
      <c r="X253" s="550"/>
      <c r="Y253" s="549"/>
      <c r="Z253" s="550"/>
      <c r="AA253" s="550"/>
      <c r="AB253" s="549"/>
      <c r="AC253" s="550"/>
      <c r="AD253" s="550"/>
      <c r="AE253" s="549"/>
      <c r="AF253" s="550"/>
      <c r="AG253" s="550"/>
      <c r="AH253" s="549"/>
      <c r="AI253" s="550"/>
      <c r="AJ253" s="550"/>
      <c r="AK253" s="549"/>
      <c r="AL253" s="550"/>
      <c r="AM253" s="550"/>
      <c r="AN253" s="549"/>
      <c r="AO253" s="550"/>
      <c r="AP253" s="550"/>
      <c r="AQ253" s="549"/>
      <c r="AR253" s="550"/>
      <c r="AS253" s="550"/>
      <c r="AT253" s="549"/>
      <c r="AU253" s="550"/>
      <c r="AV253" s="550"/>
      <c r="AW253" s="549"/>
      <c r="AX253" s="550"/>
      <c r="AY253" s="550"/>
      <c r="AZ253" s="549"/>
      <c r="BA253" s="550"/>
      <c r="BB253" s="550"/>
      <c r="BC253" s="550"/>
    </row>
    <row r="254" spans="1:55" s="519" customFormat="1">
      <c r="A254" s="531" t="str">
        <f t="shared" si="24"/>
        <v>CP</v>
      </c>
      <c r="B254" s="50" t="str">
        <f t="shared" si="25"/>
        <v>Div12</v>
      </c>
      <c r="C254" s="50" t="s">
        <v>266</v>
      </c>
      <c r="D254" s="532" t="s">
        <v>134</v>
      </c>
      <c r="E254" s="50" t="s">
        <v>52</v>
      </c>
      <c r="F254" s="535" t="str">
        <f>R.14DistrictsImpName2</f>
        <v xml:space="preserve"> </v>
      </c>
      <c r="G254" s="543">
        <f>R.14DistrictsImpHrs2</f>
        <v>0</v>
      </c>
      <c r="H254" s="544">
        <f>Table3[[#This Row],[Hrs Rank]]</f>
        <v>0</v>
      </c>
      <c r="I254" s="534">
        <f t="shared" si="22"/>
        <v>0</v>
      </c>
      <c r="J254" s="534">
        <f t="shared" si="23"/>
        <v>0</v>
      </c>
      <c r="K254" s="551"/>
      <c r="L254" s="551"/>
      <c r="M254" s="547" t="s">
        <v>228</v>
      </c>
      <c r="N254" s="547" t="s">
        <v>228</v>
      </c>
      <c r="O254" s="548"/>
      <c r="P254" s="549"/>
      <c r="Q254" s="550"/>
      <c r="R254" s="550"/>
      <c r="S254" s="549"/>
      <c r="T254" s="550"/>
      <c r="U254" s="550"/>
      <c r="V254" s="549"/>
      <c r="W254" s="550"/>
      <c r="X254" s="550"/>
      <c r="Y254" s="549"/>
      <c r="Z254" s="550"/>
      <c r="AA254" s="550"/>
      <c r="AB254" s="549"/>
      <c r="AC254" s="550"/>
      <c r="AD254" s="550"/>
      <c r="AE254" s="549"/>
      <c r="AF254" s="550"/>
      <c r="AG254" s="550"/>
      <c r="AH254" s="549"/>
      <c r="AI254" s="550"/>
      <c r="AJ254" s="550"/>
      <c r="AK254" s="549"/>
      <c r="AL254" s="550"/>
      <c r="AM254" s="550"/>
      <c r="AN254" s="549"/>
      <c r="AO254" s="550"/>
      <c r="AP254" s="550"/>
      <c r="AQ254" s="549"/>
      <c r="AR254" s="550"/>
      <c r="AS254" s="550"/>
      <c r="AT254" s="549"/>
      <c r="AU254" s="550"/>
      <c r="AV254" s="550"/>
      <c r="AW254" s="549"/>
      <c r="AX254" s="550"/>
      <c r="AY254" s="550"/>
      <c r="AZ254" s="549"/>
      <c r="BA254" s="550"/>
      <c r="BB254" s="550"/>
      <c r="BC254" s="550"/>
    </row>
    <row r="255" spans="1:55" s="519" customFormat="1">
      <c r="A255" s="531" t="str">
        <f t="shared" ref="A255:A286" si="26">R.1Division</f>
        <v>CP</v>
      </c>
      <c r="B255" s="50" t="str">
        <f t="shared" ref="B255:B286" si="27">R.1CodeName</f>
        <v>Div12</v>
      </c>
      <c r="C255" s="50" t="s">
        <v>266</v>
      </c>
      <c r="D255" s="532" t="s">
        <v>134</v>
      </c>
      <c r="E255" s="50" t="s">
        <v>52</v>
      </c>
      <c r="F255" s="535" t="str">
        <f>R.14DistrictsImpName3</f>
        <v xml:space="preserve"> </v>
      </c>
      <c r="G255" s="543">
        <f>R.14DistrictsImpHrs3</f>
        <v>0</v>
      </c>
      <c r="H255" s="544">
        <f>Table3[[#This Row],[Hrs Rank]]</f>
        <v>0</v>
      </c>
      <c r="I255" s="534">
        <f t="shared" si="22"/>
        <v>0</v>
      </c>
      <c r="J255" s="534">
        <f t="shared" si="23"/>
        <v>0</v>
      </c>
      <c r="K255" s="551"/>
      <c r="L255" s="551"/>
      <c r="M255" s="547" t="s">
        <v>228</v>
      </c>
      <c r="N255" s="547" t="s">
        <v>228</v>
      </c>
      <c r="O255" s="548"/>
      <c r="P255" s="549"/>
      <c r="Q255" s="550"/>
      <c r="R255" s="550"/>
      <c r="S255" s="549"/>
      <c r="T255" s="550"/>
      <c r="U255" s="550"/>
      <c r="V255" s="549"/>
      <c r="W255" s="550"/>
      <c r="X255" s="550"/>
      <c r="Y255" s="549"/>
      <c r="Z255" s="550"/>
      <c r="AA255" s="550"/>
      <c r="AB255" s="549"/>
      <c r="AC255" s="550"/>
      <c r="AD255" s="550"/>
      <c r="AE255" s="549"/>
      <c r="AF255" s="550"/>
      <c r="AG255" s="550"/>
      <c r="AH255" s="549"/>
      <c r="AI255" s="550"/>
      <c r="AJ255" s="550"/>
      <c r="AK255" s="549"/>
      <c r="AL255" s="550"/>
      <c r="AM255" s="550"/>
      <c r="AN255" s="549"/>
      <c r="AO255" s="550"/>
      <c r="AP255" s="550"/>
      <c r="AQ255" s="549"/>
      <c r="AR255" s="550"/>
      <c r="AS255" s="550"/>
      <c r="AT255" s="549"/>
      <c r="AU255" s="550"/>
      <c r="AV255" s="550"/>
      <c r="AW255" s="549"/>
      <c r="AX255" s="550"/>
      <c r="AY255" s="550"/>
      <c r="AZ255" s="549"/>
      <c r="BA255" s="550"/>
      <c r="BB255" s="550"/>
      <c r="BC255" s="550"/>
    </row>
    <row r="256" spans="1:55" s="519" customFormat="1">
      <c r="A256" s="531" t="str">
        <f t="shared" si="26"/>
        <v>CP</v>
      </c>
      <c r="B256" s="50" t="str">
        <f t="shared" si="27"/>
        <v>Div12</v>
      </c>
      <c r="C256" s="50" t="s">
        <v>266</v>
      </c>
      <c r="D256" s="532" t="s">
        <v>134</v>
      </c>
      <c r="E256" s="50" t="s">
        <v>52</v>
      </c>
      <c r="F256" s="535" t="str">
        <f>R.14DistrictsImpName4</f>
        <v xml:space="preserve"> </v>
      </c>
      <c r="G256" s="543">
        <f>R.14DistrictsImpHrs4</f>
        <v>0</v>
      </c>
      <c r="H256" s="544">
        <f>Table3[[#This Row],[Hrs Rank]]</f>
        <v>0</v>
      </c>
      <c r="I256" s="534">
        <f t="shared" si="22"/>
        <v>0</v>
      </c>
      <c r="J256" s="534">
        <f t="shared" si="23"/>
        <v>0</v>
      </c>
      <c r="K256" s="551"/>
      <c r="L256" s="551"/>
      <c r="M256" s="547" t="s">
        <v>228</v>
      </c>
      <c r="N256" s="547" t="s">
        <v>228</v>
      </c>
      <c r="O256" s="548"/>
      <c r="P256" s="549"/>
      <c r="Q256" s="550"/>
      <c r="R256" s="550"/>
      <c r="S256" s="549"/>
      <c r="T256" s="550"/>
      <c r="U256" s="550"/>
      <c r="V256" s="549"/>
      <c r="W256" s="550"/>
      <c r="X256" s="550"/>
      <c r="Y256" s="549"/>
      <c r="Z256" s="550"/>
      <c r="AA256" s="550"/>
      <c r="AB256" s="549"/>
      <c r="AC256" s="550"/>
      <c r="AD256" s="550"/>
      <c r="AE256" s="549"/>
      <c r="AF256" s="550"/>
      <c r="AG256" s="550"/>
      <c r="AH256" s="549"/>
      <c r="AI256" s="550"/>
      <c r="AJ256" s="550"/>
      <c r="AK256" s="549"/>
      <c r="AL256" s="550"/>
      <c r="AM256" s="550"/>
      <c r="AN256" s="549"/>
      <c r="AO256" s="550"/>
      <c r="AP256" s="550"/>
      <c r="AQ256" s="549"/>
      <c r="AR256" s="550"/>
      <c r="AS256" s="550"/>
      <c r="AT256" s="549"/>
      <c r="AU256" s="550"/>
      <c r="AV256" s="550"/>
      <c r="AW256" s="549"/>
      <c r="AX256" s="550"/>
      <c r="AY256" s="550"/>
      <c r="AZ256" s="549"/>
      <c r="BA256" s="550"/>
      <c r="BB256" s="550"/>
      <c r="BC256" s="550"/>
    </row>
    <row r="257" spans="1:55" s="519" customFormat="1">
      <c r="A257" s="531" t="str">
        <f t="shared" si="26"/>
        <v>CP</v>
      </c>
      <c r="B257" s="50" t="str">
        <f t="shared" si="27"/>
        <v>Div12</v>
      </c>
      <c r="C257" s="50" t="s">
        <v>266</v>
      </c>
      <c r="D257" s="532" t="s">
        <v>275</v>
      </c>
      <c r="E257" s="50" t="s">
        <v>53</v>
      </c>
      <c r="F257" s="535" t="str">
        <f>R.14TribeDevName1</f>
        <v>Christine Svetkovich</v>
      </c>
      <c r="G257" s="543">
        <f>R.14TribeDevHrs1</f>
        <v>0</v>
      </c>
      <c r="H257" s="544">
        <f>Table3[[#This Row],[Hrs Rank]]</f>
        <v>0</v>
      </c>
      <c r="I257" s="534">
        <f t="shared" si="22"/>
        <v>0</v>
      </c>
      <c r="J257" s="534">
        <f t="shared" si="23"/>
        <v>0</v>
      </c>
      <c r="K257" s="551"/>
      <c r="L257" s="551"/>
      <c r="M257" s="547" t="s">
        <v>228</v>
      </c>
      <c r="N257" s="547" t="s">
        <v>228</v>
      </c>
      <c r="O257" s="548"/>
      <c r="P257" s="549"/>
      <c r="Q257" s="550"/>
      <c r="R257" s="550"/>
      <c r="S257" s="549"/>
      <c r="T257" s="550"/>
      <c r="U257" s="550"/>
      <c r="V257" s="549"/>
      <c r="W257" s="550"/>
      <c r="X257" s="550"/>
      <c r="Y257" s="549"/>
      <c r="Z257" s="550"/>
      <c r="AA257" s="550"/>
      <c r="AB257" s="549"/>
      <c r="AC257" s="550"/>
      <c r="AD257" s="550"/>
      <c r="AE257" s="549"/>
      <c r="AF257" s="550"/>
      <c r="AG257" s="550"/>
      <c r="AH257" s="549"/>
      <c r="AI257" s="550"/>
      <c r="AJ257" s="550"/>
      <c r="AK257" s="549"/>
      <c r="AL257" s="550"/>
      <c r="AM257" s="550"/>
      <c r="AN257" s="549"/>
      <c r="AO257" s="550"/>
      <c r="AP257" s="550"/>
      <c r="AQ257" s="549"/>
      <c r="AR257" s="550"/>
      <c r="AS257" s="550"/>
      <c r="AT257" s="549"/>
      <c r="AU257" s="550"/>
      <c r="AV257" s="550"/>
      <c r="AW257" s="549"/>
      <c r="AX257" s="550"/>
      <c r="AY257" s="550"/>
      <c r="AZ257" s="549"/>
      <c r="BA257" s="550"/>
      <c r="BB257" s="550"/>
      <c r="BC257" s="550"/>
    </row>
    <row r="258" spans="1:55" s="519" customFormat="1">
      <c r="A258" s="531" t="str">
        <f t="shared" si="26"/>
        <v>CP</v>
      </c>
      <c r="B258" s="50" t="str">
        <f t="shared" si="27"/>
        <v>Div12</v>
      </c>
      <c r="C258" s="50" t="s">
        <v>266</v>
      </c>
      <c r="D258" s="532" t="s">
        <v>275</v>
      </c>
      <c r="E258" s="50" t="s">
        <v>53</v>
      </c>
      <c r="F258" s="535" t="str">
        <f>R.14TribeDevName2</f>
        <v xml:space="preserve"> </v>
      </c>
      <c r="G258" s="543">
        <f>R.14TribeDevHrs2</f>
        <v>0</v>
      </c>
      <c r="H258" s="544">
        <f>Table3[[#This Row],[Hrs Rank]]</f>
        <v>0</v>
      </c>
      <c r="I258" s="534">
        <f t="shared" si="22"/>
        <v>0</v>
      </c>
      <c r="J258" s="534">
        <f t="shared" si="23"/>
        <v>0</v>
      </c>
      <c r="K258" s="551"/>
      <c r="L258" s="551"/>
      <c r="M258" s="547" t="s">
        <v>228</v>
      </c>
      <c r="N258" s="547" t="s">
        <v>228</v>
      </c>
      <c r="O258" s="548"/>
      <c r="P258" s="549"/>
      <c r="Q258" s="550"/>
      <c r="R258" s="550"/>
      <c r="S258" s="549"/>
      <c r="T258" s="550"/>
      <c r="U258" s="550"/>
      <c r="V258" s="549"/>
      <c r="W258" s="550"/>
      <c r="X258" s="550"/>
      <c r="Y258" s="549"/>
      <c r="Z258" s="550"/>
      <c r="AA258" s="550"/>
      <c r="AB258" s="549"/>
      <c r="AC258" s="550"/>
      <c r="AD258" s="550"/>
      <c r="AE258" s="549"/>
      <c r="AF258" s="550"/>
      <c r="AG258" s="550"/>
      <c r="AH258" s="549"/>
      <c r="AI258" s="550"/>
      <c r="AJ258" s="550"/>
      <c r="AK258" s="549"/>
      <c r="AL258" s="550"/>
      <c r="AM258" s="550"/>
      <c r="AN258" s="549"/>
      <c r="AO258" s="550"/>
      <c r="AP258" s="550"/>
      <c r="AQ258" s="549"/>
      <c r="AR258" s="550"/>
      <c r="AS258" s="550"/>
      <c r="AT258" s="549"/>
      <c r="AU258" s="550"/>
      <c r="AV258" s="550"/>
      <c r="AW258" s="549"/>
      <c r="AX258" s="550"/>
      <c r="AY258" s="550"/>
      <c r="AZ258" s="549"/>
      <c r="BA258" s="550"/>
      <c r="BB258" s="550"/>
      <c r="BC258" s="550"/>
    </row>
    <row r="259" spans="1:55" s="519" customFormat="1">
      <c r="A259" s="531" t="str">
        <f t="shared" si="26"/>
        <v>CP</v>
      </c>
      <c r="B259" s="50" t="str">
        <f t="shared" si="27"/>
        <v>Div12</v>
      </c>
      <c r="C259" s="50" t="s">
        <v>266</v>
      </c>
      <c r="D259" s="532" t="s">
        <v>275</v>
      </c>
      <c r="E259" s="50" t="s">
        <v>53</v>
      </c>
      <c r="F259" s="535" t="str">
        <f>R.14TribeDevName3</f>
        <v xml:space="preserve"> </v>
      </c>
      <c r="G259" s="543">
        <f>R.14TribeDevHrs3</f>
        <v>0</v>
      </c>
      <c r="H259" s="544">
        <f>Table3[[#This Row],[Hrs Rank]]</f>
        <v>0</v>
      </c>
      <c r="I259" s="534">
        <f t="shared" ref="I259:I296" si="28">IF(ISNA(VLOOKUP($H259,R.VL_DEQResourceHours,2,FALSE)),0,VLOOKUP($H259,R.VL_DEQResourceHours,2,FALSE))</f>
        <v>0</v>
      </c>
      <c r="J259" s="534">
        <f t="shared" ref="J259:J296" si="29">IF(ISNA(VLOOKUP($H259,R.VL_DEQResourceHours,3,FALSE)),0,VLOOKUP($H259,R.VL_DEQResourceHours,3,FALSE))</f>
        <v>0</v>
      </c>
      <c r="K259" s="551"/>
      <c r="L259" s="551"/>
      <c r="M259" s="547" t="s">
        <v>228</v>
      </c>
      <c r="N259" s="547" t="s">
        <v>228</v>
      </c>
      <c r="O259" s="548"/>
      <c r="P259" s="549"/>
      <c r="Q259" s="550"/>
      <c r="R259" s="550"/>
      <c r="S259" s="549"/>
      <c r="T259" s="550"/>
      <c r="U259" s="550"/>
      <c r="V259" s="549"/>
      <c r="W259" s="550"/>
      <c r="X259" s="550"/>
      <c r="Y259" s="549"/>
      <c r="Z259" s="550"/>
      <c r="AA259" s="550"/>
      <c r="AB259" s="549"/>
      <c r="AC259" s="550"/>
      <c r="AD259" s="550"/>
      <c r="AE259" s="549"/>
      <c r="AF259" s="550"/>
      <c r="AG259" s="550"/>
      <c r="AH259" s="549"/>
      <c r="AI259" s="550"/>
      <c r="AJ259" s="550"/>
      <c r="AK259" s="549"/>
      <c r="AL259" s="550"/>
      <c r="AM259" s="550"/>
      <c r="AN259" s="549"/>
      <c r="AO259" s="550"/>
      <c r="AP259" s="550"/>
      <c r="AQ259" s="549"/>
      <c r="AR259" s="550"/>
      <c r="AS259" s="550"/>
      <c r="AT259" s="549"/>
      <c r="AU259" s="550"/>
      <c r="AV259" s="550"/>
      <c r="AW259" s="549"/>
      <c r="AX259" s="550"/>
      <c r="AY259" s="550"/>
      <c r="AZ259" s="549"/>
      <c r="BA259" s="550"/>
      <c r="BB259" s="550"/>
      <c r="BC259" s="550"/>
    </row>
    <row r="260" spans="1:55" s="519" customFormat="1">
      <c r="A260" s="531" t="str">
        <f t="shared" si="26"/>
        <v>CP</v>
      </c>
      <c r="B260" s="50" t="str">
        <f t="shared" si="27"/>
        <v>Div12</v>
      </c>
      <c r="C260" s="50" t="s">
        <v>266</v>
      </c>
      <c r="D260" s="532" t="s">
        <v>275</v>
      </c>
      <c r="E260" s="50" t="s">
        <v>53</v>
      </c>
      <c r="F260" s="535" t="str">
        <f>R.14TribeDevName4</f>
        <v xml:space="preserve"> </v>
      </c>
      <c r="G260" s="543">
        <f>R.14TribeDevHrs4</f>
        <v>0</v>
      </c>
      <c r="H260" s="544">
        <f>Table3[[#This Row],[Hrs Rank]]</f>
        <v>0</v>
      </c>
      <c r="I260" s="534">
        <f t="shared" si="28"/>
        <v>0</v>
      </c>
      <c r="J260" s="534">
        <f t="shared" si="29"/>
        <v>0</v>
      </c>
      <c r="K260" s="551"/>
      <c r="L260" s="551"/>
      <c r="M260" s="547" t="s">
        <v>228</v>
      </c>
      <c r="N260" s="547" t="s">
        <v>228</v>
      </c>
      <c r="O260" s="548"/>
      <c r="P260" s="549"/>
      <c r="Q260" s="550"/>
      <c r="R260" s="550"/>
      <c r="S260" s="549"/>
      <c r="T260" s="550"/>
      <c r="U260" s="550"/>
      <c r="V260" s="549"/>
      <c r="W260" s="550"/>
      <c r="X260" s="550"/>
      <c r="Y260" s="549"/>
      <c r="Z260" s="550"/>
      <c r="AA260" s="550"/>
      <c r="AB260" s="549"/>
      <c r="AC260" s="550"/>
      <c r="AD260" s="550"/>
      <c r="AE260" s="549"/>
      <c r="AF260" s="550"/>
      <c r="AG260" s="550"/>
      <c r="AH260" s="549"/>
      <c r="AI260" s="550"/>
      <c r="AJ260" s="550"/>
      <c r="AK260" s="549"/>
      <c r="AL260" s="550"/>
      <c r="AM260" s="550"/>
      <c r="AN260" s="549"/>
      <c r="AO260" s="550"/>
      <c r="AP260" s="550"/>
      <c r="AQ260" s="549"/>
      <c r="AR260" s="550"/>
      <c r="AS260" s="550"/>
      <c r="AT260" s="549"/>
      <c r="AU260" s="550"/>
      <c r="AV260" s="550"/>
      <c r="AW260" s="549"/>
      <c r="AX260" s="550"/>
      <c r="AY260" s="550"/>
      <c r="AZ260" s="549"/>
      <c r="BA260" s="550"/>
      <c r="BB260" s="550"/>
      <c r="BC260" s="550"/>
    </row>
    <row r="261" spans="1:55" s="519" customFormat="1">
      <c r="A261" s="531" t="str">
        <f t="shared" si="26"/>
        <v>CP</v>
      </c>
      <c r="B261" s="50" t="str">
        <f t="shared" si="27"/>
        <v>Div12</v>
      </c>
      <c r="C261" s="50" t="s">
        <v>266</v>
      </c>
      <c r="D261" s="532" t="s">
        <v>275</v>
      </c>
      <c r="E261" s="50" t="s">
        <v>52</v>
      </c>
      <c r="F261" s="535">
        <f>R.14TribeImpName1</f>
        <v>0</v>
      </c>
      <c r="G261" s="543">
        <f>R.14TribeImpHrs1</f>
        <v>0</v>
      </c>
      <c r="H261" s="544">
        <f>Table3[[#This Row],[Hrs Rank]]</f>
        <v>0</v>
      </c>
      <c r="I261" s="534">
        <f t="shared" si="28"/>
        <v>0</v>
      </c>
      <c r="J261" s="534">
        <f t="shared" si="29"/>
        <v>0</v>
      </c>
      <c r="K261" s="551"/>
      <c r="L261" s="551"/>
      <c r="M261" s="547" t="s">
        <v>228</v>
      </c>
      <c r="N261" s="547" t="s">
        <v>228</v>
      </c>
      <c r="O261" s="548"/>
      <c r="P261" s="549"/>
      <c r="Q261" s="550"/>
      <c r="R261" s="550"/>
      <c r="S261" s="549"/>
      <c r="T261" s="550"/>
      <c r="U261" s="550"/>
      <c r="V261" s="549"/>
      <c r="W261" s="550"/>
      <c r="X261" s="550"/>
      <c r="Y261" s="549"/>
      <c r="Z261" s="550"/>
      <c r="AA261" s="550"/>
      <c r="AB261" s="549"/>
      <c r="AC261" s="550"/>
      <c r="AD261" s="550"/>
      <c r="AE261" s="549"/>
      <c r="AF261" s="550"/>
      <c r="AG261" s="550"/>
      <c r="AH261" s="549"/>
      <c r="AI261" s="550"/>
      <c r="AJ261" s="550"/>
      <c r="AK261" s="549"/>
      <c r="AL261" s="550"/>
      <c r="AM261" s="550"/>
      <c r="AN261" s="549"/>
      <c r="AO261" s="550"/>
      <c r="AP261" s="550"/>
      <c r="AQ261" s="549"/>
      <c r="AR261" s="550"/>
      <c r="AS261" s="550"/>
      <c r="AT261" s="549"/>
      <c r="AU261" s="550"/>
      <c r="AV261" s="550"/>
      <c r="AW261" s="549"/>
      <c r="AX261" s="550"/>
      <c r="AY261" s="550"/>
      <c r="AZ261" s="549"/>
      <c r="BA261" s="550"/>
      <c r="BB261" s="550"/>
      <c r="BC261" s="550"/>
    </row>
    <row r="262" spans="1:55" s="519" customFormat="1">
      <c r="A262" s="531" t="str">
        <f t="shared" si="26"/>
        <v>CP</v>
      </c>
      <c r="B262" s="50" t="str">
        <f t="shared" si="27"/>
        <v>Div12</v>
      </c>
      <c r="C262" s="50" t="s">
        <v>266</v>
      </c>
      <c r="D262" s="532" t="s">
        <v>275</v>
      </c>
      <c r="E262" s="50" t="s">
        <v>52</v>
      </c>
      <c r="F262" s="535" t="str">
        <f>R.14TribeImpName2</f>
        <v xml:space="preserve"> </v>
      </c>
      <c r="G262" s="543">
        <f>R.14TribeImpHrs2</f>
        <v>0</v>
      </c>
      <c r="H262" s="544">
        <f>Table3[[#This Row],[Hrs Rank]]</f>
        <v>0</v>
      </c>
      <c r="I262" s="534">
        <f t="shared" si="28"/>
        <v>0</v>
      </c>
      <c r="J262" s="534">
        <f t="shared" si="29"/>
        <v>0</v>
      </c>
      <c r="K262" s="551"/>
      <c r="L262" s="551"/>
      <c r="M262" s="547" t="s">
        <v>228</v>
      </c>
      <c r="N262" s="547" t="s">
        <v>228</v>
      </c>
      <c r="O262" s="548"/>
      <c r="P262" s="549"/>
      <c r="Q262" s="550"/>
      <c r="R262" s="550"/>
      <c r="S262" s="549"/>
      <c r="T262" s="550"/>
      <c r="U262" s="550"/>
      <c r="V262" s="549"/>
      <c r="W262" s="550"/>
      <c r="X262" s="550"/>
      <c r="Y262" s="549"/>
      <c r="Z262" s="550"/>
      <c r="AA262" s="550"/>
      <c r="AB262" s="549"/>
      <c r="AC262" s="550"/>
      <c r="AD262" s="550"/>
      <c r="AE262" s="549"/>
      <c r="AF262" s="550"/>
      <c r="AG262" s="550"/>
      <c r="AH262" s="549"/>
      <c r="AI262" s="550"/>
      <c r="AJ262" s="550"/>
      <c r="AK262" s="549"/>
      <c r="AL262" s="550"/>
      <c r="AM262" s="550"/>
      <c r="AN262" s="549"/>
      <c r="AO262" s="550"/>
      <c r="AP262" s="550"/>
      <c r="AQ262" s="549"/>
      <c r="AR262" s="550"/>
      <c r="AS262" s="550"/>
      <c r="AT262" s="549"/>
      <c r="AU262" s="550"/>
      <c r="AV262" s="550"/>
      <c r="AW262" s="549"/>
      <c r="AX262" s="550"/>
      <c r="AY262" s="550"/>
      <c r="AZ262" s="549"/>
      <c r="BA262" s="550"/>
      <c r="BB262" s="550"/>
      <c r="BC262" s="550"/>
    </row>
    <row r="263" spans="1:55" s="519" customFormat="1">
      <c r="A263" s="531" t="str">
        <f t="shared" si="26"/>
        <v>CP</v>
      </c>
      <c r="B263" s="50" t="str">
        <f t="shared" si="27"/>
        <v>Div12</v>
      </c>
      <c r="C263" s="50" t="s">
        <v>266</v>
      </c>
      <c r="D263" s="532" t="s">
        <v>275</v>
      </c>
      <c r="E263" s="50" t="s">
        <v>52</v>
      </c>
      <c r="F263" s="535" t="str">
        <f>R.14TribeImpName3</f>
        <v xml:space="preserve"> </v>
      </c>
      <c r="G263" s="543">
        <f>R.14TribeImpHrs3</f>
        <v>0</v>
      </c>
      <c r="H263" s="544">
        <f>Table3[[#This Row],[Hrs Rank]]</f>
        <v>0</v>
      </c>
      <c r="I263" s="534">
        <f t="shared" si="28"/>
        <v>0</v>
      </c>
      <c r="J263" s="534">
        <f t="shared" si="29"/>
        <v>0</v>
      </c>
      <c r="K263" s="551"/>
      <c r="L263" s="551"/>
      <c r="M263" s="547" t="s">
        <v>228</v>
      </c>
      <c r="N263" s="547" t="s">
        <v>228</v>
      </c>
      <c r="O263" s="548"/>
      <c r="P263" s="549"/>
      <c r="Q263" s="550"/>
      <c r="R263" s="550"/>
      <c r="S263" s="549"/>
      <c r="T263" s="550"/>
      <c r="U263" s="550"/>
      <c r="V263" s="549"/>
      <c r="W263" s="550"/>
      <c r="X263" s="550"/>
      <c r="Y263" s="549"/>
      <c r="Z263" s="550"/>
      <c r="AA263" s="550"/>
      <c r="AB263" s="549"/>
      <c r="AC263" s="550"/>
      <c r="AD263" s="550"/>
      <c r="AE263" s="549"/>
      <c r="AF263" s="550"/>
      <c r="AG263" s="550"/>
      <c r="AH263" s="549"/>
      <c r="AI263" s="550"/>
      <c r="AJ263" s="550"/>
      <c r="AK263" s="549"/>
      <c r="AL263" s="550"/>
      <c r="AM263" s="550"/>
      <c r="AN263" s="549"/>
      <c r="AO263" s="550"/>
      <c r="AP263" s="550"/>
      <c r="AQ263" s="549"/>
      <c r="AR263" s="550"/>
      <c r="AS263" s="550"/>
      <c r="AT263" s="549"/>
      <c r="AU263" s="550"/>
      <c r="AV263" s="550"/>
      <c r="AW263" s="549"/>
      <c r="AX263" s="550"/>
      <c r="AY263" s="550"/>
      <c r="AZ263" s="549"/>
      <c r="BA263" s="550"/>
      <c r="BB263" s="550"/>
      <c r="BC263" s="550"/>
    </row>
    <row r="264" spans="1:55" s="519" customFormat="1">
      <c r="A264" s="531" t="str">
        <f t="shared" si="26"/>
        <v>CP</v>
      </c>
      <c r="B264" s="50" t="str">
        <f t="shared" si="27"/>
        <v>Div12</v>
      </c>
      <c r="C264" s="50" t="s">
        <v>266</v>
      </c>
      <c r="D264" s="532" t="s">
        <v>275</v>
      </c>
      <c r="E264" s="50" t="s">
        <v>52</v>
      </c>
      <c r="F264" s="535" t="str">
        <f>R.14TribeImpName4</f>
        <v xml:space="preserve"> </v>
      </c>
      <c r="G264" s="543">
        <f>R.14TribeImpHrs4</f>
        <v>0</v>
      </c>
      <c r="H264" s="544">
        <f>Table3[[#This Row],[Hrs Rank]]</f>
        <v>0</v>
      </c>
      <c r="I264" s="534">
        <f t="shared" si="28"/>
        <v>0</v>
      </c>
      <c r="J264" s="534">
        <f t="shared" si="29"/>
        <v>0</v>
      </c>
      <c r="K264" s="551"/>
      <c r="L264" s="551"/>
      <c r="M264" s="547" t="s">
        <v>228</v>
      </c>
      <c r="N264" s="547" t="s">
        <v>228</v>
      </c>
      <c r="O264" s="548"/>
      <c r="P264" s="549"/>
      <c r="Q264" s="550"/>
      <c r="R264" s="550"/>
      <c r="S264" s="549"/>
      <c r="T264" s="550"/>
      <c r="U264" s="550"/>
      <c r="V264" s="549"/>
      <c r="W264" s="550"/>
      <c r="X264" s="550"/>
      <c r="Y264" s="549"/>
      <c r="Z264" s="550"/>
      <c r="AA264" s="550"/>
      <c r="AB264" s="549"/>
      <c r="AC264" s="550"/>
      <c r="AD264" s="550"/>
      <c r="AE264" s="549"/>
      <c r="AF264" s="550"/>
      <c r="AG264" s="550"/>
      <c r="AH264" s="549"/>
      <c r="AI264" s="550"/>
      <c r="AJ264" s="550"/>
      <c r="AK264" s="549"/>
      <c r="AL264" s="550"/>
      <c r="AM264" s="550"/>
      <c r="AN264" s="549"/>
      <c r="AO264" s="550"/>
      <c r="AP264" s="550"/>
      <c r="AQ264" s="549"/>
      <c r="AR264" s="550"/>
      <c r="AS264" s="550"/>
      <c r="AT264" s="549"/>
      <c r="AU264" s="550"/>
      <c r="AV264" s="550"/>
      <c r="AW264" s="549"/>
      <c r="AX264" s="550"/>
      <c r="AY264" s="550"/>
      <c r="AZ264" s="549"/>
      <c r="BA264" s="550"/>
      <c r="BB264" s="550"/>
      <c r="BC264" s="550"/>
    </row>
    <row r="265" spans="1:55" s="519" customFormat="1" hidden="1">
      <c r="A265" s="531" t="str">
        <f t="shared" si="26"/>
        <v>CP</v>
      </c>
      <c r="B265" s="50" t="str">
        <f t="shared" si="27"/>
        <v>Div12</v>
      </c>
      <c r="C265" s="50" t="s">
        <v>267</v>
      </c>
      <c r="D265" s="532" t="str">
        <f>'15CustomParticipants'!D$9</f>
        <v>Enter custom role 1</v>
      </c>
      <c r="E265" s="50" t="s">
        <v>53</v>
      </c>
      <c r="F265" s="535" t="str">
        <f t="shared" ref="F265:F280" si="30">R.3PAname</f>
        <v>Debra Nesbit</v>
      </c>
      <c r="G265" s="543"/>
      <c r="H265" s="544">
        <f>Table3[[#This Row],[Hrs Rank]]</f>
        <v>0</v>
      </c>
      <c r="I265" s="534">
        <f t="shared" si="28"/>
        <v>0</v>
      </c>
      <c r="J265" s="534">
        <f t="shared" si="29"/>
        <v>0</v>
      </c>
      <c r="K265" s="551"/>
      <c r="L265" s="551"/>
      <c r="M265" s="547" t="s">
        <v>228</v>
      </c>
      <c r="N265" s="547" t="s">
        <v>228</v>
      </c>
      <c r="O265" s="548"/>
      <c r="P265" s="549"/>
      <c r="Q265" s="550"/>
      <c r="R265" s="550"/>
      <c r="S265" s="549"/>
      <c r="T265" s="550"/>
      <c r="U265" s="550"/>
      <c r="V265" s="549"/>
      <c r="W265" s="550"/>
      <c r="X265" s="550"/>
      <c r="Y265" s="549"/>
      <c r="Z265" s="550"/>
      <c r="AA265" s="550"/>
      <c r="AB265" s="549"/>
      <c r="AC265" s="550"/>
      <c r="AD265" s="550"/>
      <c r="AE265" s="549"/>
      <c r="AF265" s="550"/>
      <c r="AG265" s="550"/>
      <c r="AH265" s="549"/>
      <c r="AI265" s="550"/>
      <c r="AJ265" s="550"/>
      <c r="AK265" s="549"/>
      <c r="AL265" s="550"/>
      <c r="AM265" s="550"/>
      <c r="AN265" s="549"/>
      <c r="AO265" s="550"/>
      <c r="AP265" s="550"/>
      <c r="AQ265" s="549"/>
      <c r="AR265" s="550"/>
      <c r="AS265" s="550"/>
      <c r="AT265" s="549"/>
      <c r="AU265" s="550"/>
      <c r="AV265" s="550"/>
      <c r="AW265" s="549"/>
      <c r="AX265" s="550"/>
      <c r="AY265" s="550"/>
      <c r="AZ265" s="549"/>
      <c r="BA265" s="550"/>
      <c r="BB265" s="550"/>
      <c r="BC265" s="550"/>
    </row>
    <row r="266" spans="1:55" s="519" customFormat="1" hidden="1">
      <c r="A266" s="531" t="str">
        <f t="shared" si="26"/>
        <v>CP</v>
      </c>
      <c r="B266" s="50" t="str">
        <f t="shared" si="27"/>
        <v>Div12</v>
      </c>
      <c r="C266" s="50" t="s">
        <v>267</v>
      </c>
      <c r="D266" s="532" t="str">
        <f>'15CustomParticipants'!D$9</f>
        <v>Enter custom role 1</v>
      </c>
      <c r="E266" s="50" t="s">
        <v>53</v>
      </c>
      <c r="F266" s="535" t="str">
        <f t="shared" si="30"/>
        <v>Debra Nesbit</v>
      </c>
      <c r="G266" s="543"/>
      <c r="H266" s="544">
        <f>Table3[[#This Row],[Hrs Rank]]</f>
        <v>0</v>
      </c>
      <c r="I266" s="534">
        <f t="shared" si="28"/>
        <v>0</v>
      </c>
      <c r="J266" s="534">
        <f t="shared" si="29"/>
        <v>0</v>
      </c>
      <c r="K266" s="551"/>
      <c r="L266" s="551"/>
      <c r="M266" s="547" t="s">
        <v>228</v>
      </c>
      <c r="N266" s="547" t="s">
        <v>228</v>
      </c>
      <c r="O266" s="548"/>
      <c r="P266" s="549"/>
      <c r="Q266" s="550"/>
      <c r="R266" s="550"/>
      <c r="S266" s="549"/>
      <c r="T266" s="550"/>
      <c r="U266" s="550"/>
      <c r="V266" s="549"/>
      <c r="W266" s="550"/>
      <c r="X266" s="550"/>
      <c r="Y266" s="549"/>
      <c r="Z266" s="550"/>
      <c r="AA266" s="550"/>
      <c r="AB266" s="549"/>
      <c r="AC266" s="550"/>
      <c r="AD266" s="550"/>
      <c r="AE266" s="549"/>
      <c r="AF266" s="550"/>
      <c r="AG266" s="550"/>
      <c r="AH266" s="549"/>
      <c r="AI266" s="550"/>
      <c r="AJ266" s="550"/>
      <c r="AK266" s="549"/>
      <c r="AL266" s="550"/>
      <c r="AM266" s="550"/>
      <c r="AN266" s="549"/>
      <c r="AO266" s="550"/>
      <c r="AP266" s="550"/>
      <c r="AQ266" s="549"/>
      <c r="AR266" s="550"/>
      <c r="AS266" s="550"/>
      <c r="AT266" s="549"/>
      <c r="AU266" s="550"/>
      <c r="AV266" s="550"/>
      <c r="AW266" s="549"/>
      <c r="AX266" s="550"/>
      <c r="AY266" s="550"/>
      <c r="AZ266" s="549"/>
      <c r="BA266" s="550"/>
      <c r="BB266" s="550"/>
      <c r="BC266" s="550"/>
    </row>
    <row r="267" spans="1:55" s="519" customFormat="1" hidden="1">
      <c r="A267" s="531" t="str">
        <f t="shared" si="26"/>
        <v>CP</v>
      </c>
      <c r="B267" s="50" t="str">
        <f t="shared" si="27"/>
        <v>Div12</v>
      </c>
      <c r="C267" s="50" t="s">
        <v>267</v>
      </c>
      <c r="D267" s="532" t="str">
        <f>'15CustomParticipants'!D$9</f>
        <v>Enter custom role 1</v>
      </c>
      <c r="E267" s="50" t="s">
        <v>53</v>
      </c>
      <c r="F267" s="535" t="str">
        <f t="shared" si="30"/>
        <v>Debra Nesbit</v>
      </c>
      <c r="G267" s="543"/>
      <c r="H267" s="544">
        <f>Table3[[#This Row],[Hrs Rank]]</f>
        <v>0</v>
      </c>
      <c r="I267" s="534">
        <f t="shared" si="28"/>
        <v>0</v>
      </c>
      <c r="J267" s="534">
        <f t="shared" si="29"/>
        <v>0</v>
      </c>
      <c r="K267" s="551"/>
      <c r="L267" s="551"/>
      <c r="M267" s="547" t="s">
        <v>228</v>
      </c>
      <c r="N267" s="547" t="s">
        <v>228</v>
      </c>
      <c r="O267" s="548"/>
      <c r="P267" s="549"/>
      <c r="Q267" s="550"/>
      <c r="R267" s="550"/>
      <c r="S267" s="549"/>
      <c r="T267" s="550"/>
      <c r="U267" s="550"/>
      <c r="V267" s="549"/>
      <c r="W267" s="550"/>
      <c r="X267" s="550"/>
      <c r="Y267" s="549"/>
      <c r="Z267" s="550"/>
      <c r="AA267" s="550"/>
      <c r="AB267" s="549"/>
      <c r="AC267" s="550"/>
      <c r="AD267" s="550"/>
      <c r="AE267" s="549"/>
      <c r="AF267" s="550"/>
      <c r="AG267" s="550"/>
      <c r="AH267" s="549"/>
      <c r="AI267" s="550"/>
      <c r="AJ267" s="550"/>
      <c r="AK267" s="549"/>
      <c r="AL267" s="550"/>
      <c r="AM267" s="550"/>
      <c r="AN267" s="549"/>
      <c r="AO267" s="550"/>
      <c r="AP267" s="550"/>
      <c r="AQ267" s="549"/>
      <c r="AR267" s="550"/>
      <c r="AS267" s="550"/>
      <c r="AT267" s="549"/>
      <c r="AU267" s="550"/>
      <c r="AV267" s="550"/>
      <c r="AW267" s="549"/>
      <c r="AX267" s="550"/>
      <c r="AY267" s="550"/>
      <c r="AZ267" s="549"/>
      <c r="BA267" s="550"/>
      <c r="BB267" s="550"/>
      <c r="BC267" s="550"/>
    </row>
    <row r="268" spans="1:55" s="519" customFormat="1" hidden="1">
      <c r="A268" s="531" t="str">
        <f t="shared" si="26"/>
        <v>CP</v>
      </c>
      <c r="B268" s="50" t="str">
        <f t="shared" si="27"/>
        <v>Div12</v>
      </c>
      <c r="C268" s="50" t="s">
        <v>267</v>
      </c>
      <c r="D268" s="532" t="str">
        <f>'15CustomParticipants'!D$9</f>
        <v>Enter custom role 1</v>
      </c>
      <c r="E268" s="50" t="s">
        <v>53</v>
      </c>
      <c r="F268" s="535" t="str">
        <f t="shared" si="30"/>
        <v>Debra Nesbit</v>
      </c>
      <c r="G268" s="543"/>
      <c r="H268" s="544">
        <f>Table3[[#This Row],[Hrs Rank]]</f>
        <v>0</v>
      </c>
      <c r="I268" s="534">
        <f t="shared" si="28"/>
        <v>0</v>
      </c>
      <c r="J268" s="534">
        <f t="shared" si="29"/>
        <v>0</v>
      </c>
      <c r="K268" s="551"/>
      <c r="L268" s="551"/>
      <c r="M268" s="547" t="s">
        <v>228</v>
      </c>
      <c r="N268" s="547" t="s">
        <v>228</v>
      </c>
      <c r="O268" s="548"/>
      <c r="P268" s="549"/>
      <c r="Q268" s="550"/>
      <c r="R268" s="550"/>
      <c r="S268" s="549"/>
      <c r="T268" s="550"/>
      <c r="U268" s="550"/>
      <c r="V268" s="549"/>
      <c r="W268" s="550"/>
      <c r="X268" s="550"/>
      <c r="Y268" s="549"/>
      <c r="Z268" s="550"/>
      <c r="AA268" s="550"/>
      <c r="AB268" s="549"/>
      <c r="AC268" s="550"/>
      <c r="AD268" s="550"/>
      <c r="AE268" s="549"/>
      <c r="AF268" s="550"/>
      <c r="AG268" s="550"/>
      <c r="AH268" s="549"/>
      <c r="AI268" s="550"/>
      <c r="AJ268" s="550"/>
      <c r="AK268" s="549"/>
      <c r="AL268" s="550"/>
      <c r="AM268" s="550"/>
      <c r="AN268" s="549"/>
      <c r="AO268" s="550"/>
      <c r="AP268" s="550"/>
      <c r="AQ268" s="549"/>
      <c r="AR268" s="550"/>
      <c r="AS268" s="550"/>
      <c r="AT268" s="549"/>
      <c r="AU268" s="550"/>
      <c r="AV268" s="550"/>
      <c r="AW268" s="549"/>
      <c r="AX268" s="550"/>
      <c r="AY268" s="550"/>
      <c r="AZ268" s="549"/>
      <c r="BA268" s="550"/>
      <c r="BB268" s="550"/>
      <c r="BC268" s="550"/>
    </row>
    <row r="269" spans="1:55" s="519" customFormat="1" hidden="1">
      <c r="A269" s="531" t="str">
        <f t="shared" si="26"/>
        <v>CP</v>
      </c>
      <c r="B269" s="50" t="str">
        <f t="shared" si="27"/>
        <v>Div12</v>
      </c>
      <c r="C269" s="50" t="s">
        <v>267</v>
      </c>
      <c r="D269" s="532" t="str">
        <f>'15CustomParticipants'!D$9</f>
        <v>Enter custom role 1</v>
      </c>
      <c r="E269" s="50" t="s">
        <v>52</v>
      </c>
      <c r="F269" s="535" t="str">
        <f t="shared" si="30"/>
        <v>Debra Nesbit</v>
      </c>
      <c r="G269" s="543"/>
      <c r="H269" s="544">
        <f>Table3[[#This Row],[Hrs Rank]]</f>
        <v>0</v>
      </c>
      <c r="I269" s="534">
        <f t="shared" si="28"/>
        <v>0</v>
      </c>
      <c r="J269" s="534">
        <f t="shared" si="29"/>
        <v>0</v>
      </c>
      <c r="K269" s="551"/>
      <c r="L269" s="551"/>
      <c r="M269" s="547" t="s">
        <v>228</v>
      </c>
      <c r="N269" s="547" t="s">
        <v>228</v>
      </c>
      <c r="O269" s="548"/>
      <c r="P269" s="549"/>
      <c r="Q269" s="550"/>
      <c r="R269" s="550"/>
      <c r="S269" s="549"/>
      <c r="T269" s="550"/>
      <c r="U269" s="550"/>
      <c r="V269" s="549"/>
      <c r="W269" s="550"/>
      <c r="X269" s="550"/>
      <c r="Y269" s="549"/>
      <c r="Z269" s="550"/>
      <c r="AA269" s="550"/>
      <c r="AB269" s="549"/>
      <c r="AC269" s="550"/>
      <c r="AD269" s="550"/>
      <c r="AE269" s="549"/>
      <c r="AF269" s="550"/>
      <c r="AG269" s="550"/>
      <c r="AH269" s="549"/>
      <c r="AI269" s="550"/>
      <c r="AJ269" s="550"/>
      <c r="AK269" s="549"/>
      <c r="AL269" s="550"/>
      <c r="AM269" s="550"/>
      <c r="AN269" s="549"/>
      <c r="AO269" s="550"/>
      <c r="AP269" s="550"/>
      <c r="AQ269" s="549"/>
      <c r="AR269" s="550"/>
      <c r="AS269" s="550"/>
      <c r="AT269" s="549"/>
      <c r="AU269" s="550"/>
      <c r="AV269" s="550"/>
      <c r="AW269" s="549"/>
      <c r="AX269" s="550"/>
      <c r="AY269" s="550"/>
      <c r="AZ269" s="549"/>
      <c r="BA269" s="550"/>
      <c r="BB269" s="550"/>
      <c r="BC269" s="550"/>
    </row>
    <row r="270" spans="1:55" s="519" customFormat="1" hidden="1">
      <c r="A270" s="531" t="str">
        <f t="shared" si="26"/>
        <v>CP</v>
      </c>
      <c r="B270" s="50" t="str">
        <f t="shared" si="27"/>
        <v>Div12</v>
      </c>
      <c r="C270" s="50" t="s">
        <v>267</v>
      </c>
      <c r="D270" s="532" t="str">
        <f>'15CustomParticipants'!D$9</f>
        <v>Enter custom role 1</v>
      </c>
      <c r="E270" s="50" t="s">
        <v>52</v>
      </c>
      <c r="F270" s="535" t="str">
        <f t="shared" si="30"/>
        <v>Debra Nesbit</v>
      </c>
      <c r="G270" s="543"/>
      <c r="H270" s="544">
        <f>Table3[[#This Row],[Hrs Rank]]</f>
        <v>0</v>
      </c>
      <c r="I270" s="534">
        <f t="shared" si="28"/>
        <v>0</v>
      </c>
      <c r="J270" s="534">
        <f t="shared" si="29"/>
        <v>0</v>
      </c>
      <c r="K270" s="551"/>
      <c r="L270" s="551"/>
      <c r="M270" s="547" t="s">
        <v>228</v>
      </c>
      <c r="N270" s="547" t="s">
        <v>228</v>
      </c>
      <c r="O270" s="548"/>
      <c r="P270" s="549"/>
      <c r="Q270" s="550"/>
      <c r="R270" s="550"/>
      <c r="S270" s="549"/>
      <c r="T270" s="550"/>
      <c r="U270" s="550"/>
      <c r="V270" s="549"/>
      <c r="W270" s="550"/>
      <c r="X270" s="550"/>
      <c r="Y270" s="549"/>
      <c r="Z270" s="550"/>
      <c r="AA270" s="550"/>
      <c r="AB270" s="549"/>
      <c r="AC270" s="550"/>
      <c r="AD270" s="550"/>
      <c r="AE270" s="549"/>
      <c r="AF270" s="550"/>
      <c r="AG270" s="550"/>
      <c r="AH270" s="549"/>
      <c r="AI270" s="550"/>
      <c r="AJ270" s="550"/>
      <c r="AK270" s="549"/>
      <c r="AL270" s="550"/>
      <c r="AM270" s="550"/>
      <c r="AN270" s="549"/>
      <c r="AO270" s="550"/>
      <c r="AP270" s="550"/>
      <c r="AQ270" s="549"/>
      <c r="AR270" s="550"/>
      <c r="AS270" s="550"/>
      <c r="AT270" s="549"/>
      <c r="AU270" s="550"/>
      <c r="AV270" s="550"/>
      <c r="AW270" s="549"/>
      <c r="AX270" s="550"/>
      <c r="AY270" s="550"/>
      <c r="AZ270" s="549"/>
      <c r="BA270" s="550"/>
      <c r="BB270" s="550"/>
      <c r="BC270" s="550"/>
    </row>
    <row r="271" spans="1:55" s="519" customFormat="1" hidden="1">
      <c r="A271" s="531" t="str">
        <f t="shared" si="26"/>
        <v>CP</v>
      </c>
      <c r="B271" s="50" t="str">
        <f t="shared" si="27"/>
        <v>Div12</v>
      </c>
      <c r="C271" s="50" t="s">
        <v>267</v>
      </c>
      <c r="D271" s="532" t="str">
        <f>'15CustomParticipants'!D$9</f>
        <v>Enter custom role 1</v>
      </c>
      <c r="E271" s="50" t="s">
        <v>52</v>
      </c>
      <c r="F271" s="535" t="str">
        <f t="shared" si="30"/>
        <v>Debra Nesbit</v>
      </c>
      <c r="G271" s="543"/>
      <c r="H271" s="544">
        <f>Table3[[#This Row],[Hrs Rank]]</f>
        <v>0</v>
      </c>
      <c r="I271" s="534">
        <f t="shared" si="28"/>
        <v>0</v>
      </c>
      <c r="J271" s="534">
        <f t="shared" si="29"/>
        <v>0</v>
      </c>
      <c r="K271" s="551"/>
      <c r="L271" s="551"/>
      <c r="M271" s="547" t="s">
        <v>228</v>
      </c>
      <c r="N271" s="547" t="s">
        <v>228</v>
      </c>
      <c r="O271" s="548"/>
      <c r="P271" s="549"/>
      <c r="Q271" s="550"/>
      <c r="R271" s="550"/>
      <c r="S271" s="549"/>
      <c r="T271" s="550"/>
      <c r="U271" s="550"/>
      <c r="V271" s="549"/>
      <c r="W271" s="550"/>
      <c r="X271" s="550"/>
      <c r="Y271" s="549"/>
      <c r="Z271" s="550"/>
      <c r="AA271" s="550"/>
      <c r="AB271" s="549"/>
      <c r="AC271" s="550"/>
      <c r="AD271" s="550"/>
      <c r="AE271" s="549"/>
      <c r="AF271" s="550"/>
      <c r="AG271" s="550"/>
      <c r="AH271" s="549"/>
      <c r="AI271" s="550"/>
      <c r="AJ271" s="550"/>
      <c r="AK271" s="549"/>
      <c r="AL271" s="550"/>
      <c r="AM271" s="550"/>
      <c r="AN271" s="549"/>
      <c r="AO271" s="550"/>
      <c r="AP271" s="550"/>
      <c r="AQ271" s="549"/>
      <c r="AR271" s="550"/>
      <c r="AS271" s="550"/>
      <c r="AT271" s="549"/>
      <c r="AU271" s="550"/>
      <c r="AV271" s="550"/>
      <c r="AW271" s="549"/>
      <c r="AX271" s="550"/>
      <c r="AY271" s="550"/>
      <c r="AZ271" s="549"/>
      <c r="BA271" s="550"/>
      <c r="BB271" s="550"/>
      <c r="BC271" s="550"/>
    </row>
    <row r="272" spans="1:55" s="519" customFormat="1" hidden="1">
      <c r="A272" s="531" t="str">
        <f t="shared" si="26"/>
        <v>CP</v>
      </c>
      <c r="B272" s="50" t="str">
        <f t="shared" si="27"/>
        <v>Div12</v>
      </c>
      <c r="C272" s="50" t="s">
        <v>267</v>
      </c>
      <c r="D272" s="532" t="str">
        <f>'15CustomParticipants'!D$9</f>
        <v>Enter custom role 1</v>
      </c>
      <c r="E272" s="50" t="s">
        <v>52</v>
      </c>
      <c r="F272" s="535" t="str">
        <f t="shared" si="30"/>
        <v>Debra Nesbit</v>
      </c>
      <c r="G272" s="543"/>
      <c r="H272" s="544">
        <f>Table3[[#This Row],[Hrs Rank]]</f>
        <v>0</v>
      </c>
      <c r="I272" s="534">
        <f t="shared" si="28"/>
        <v>0</v>
      </c>
      <c r="J272" s="534">
        <f t="shared" si="29"/>
        <v>0</v>
      </c>
      <c r="K272" s="551"/>
      <c r="L272" s="551"/>
      <c r="M272" s="547" t="s">
        <v>228</v>
      </c>
      <c r="N272" s="547" t="s">
        <v>228</v>
      </c>
      <c r="O272" s="548"/>
      <c r="P272" s="549"/>
      <c r="Q272" s="550"/>
      <c r="R272" s="550"/>
      <c r="S272" s="549"/>
      <c r="T272" s="550"/>
      <c r="U272" s="550"/>
      <c r="V272" s="549"/>
      <c r="W272" s="550"/>
      <c r="X272" s="550"/>
      <c r="Y272" s="549"/>
      <c r="Z272" s="550"/>
      <c r="AA272" s="550"/>
      <c r="AB272" s="549"/>
      <c r="AC272" s="550"/>
      <c r="AD272" s="550"/>
      <c r="AE272" s="549"/>
      <c r="AF272" s="550"/>
      <c r="AG272" s="550"/>
      <c r="AH272" s="549"/>
      <c r="AI272" s="550"/>
      <c r="AJ272" s="550"/>
      <c r="AK272" s="549"/>
      <c r="AL272" s="550"/>
      <c r="AM272" s="550"/>
      <c r="AN272" s="549"/>
      <c r="AO272" s="550"/>
      <c r="AP272" s="550"/>
      <c r="AQ272" s="549"/>
      <c r="AR272" s="550"/>
      <c r="AS272" s="550"/>
      <c r="AT272" s="549"/>
      <c r="AU272" s="550"/>
      <c r="AV272" s="550"/>
      <c r="AW272" s="549"/>
      <c r="AX272" s="550"/>
      <c r="AY272" s="550"/>
      <c r="AZ272" s="549"/>
      <c r="BA272" s="550"/>
      <c r="BB272" s="550"/>
      <c r="BC272" s="550"/>
    </row>
    <row r="273" spans="1:55" s="519" customFormat="1" hidden="1">
      <c r="A273" s="531" t="str">
        <f t="shared" si="26"/>
        <v>CP</v>
      </c>
      <c r="B273" s="50" t="str">
        <f t="shared" si="27"/>
        <v>Div12</v>
      </c>
      <c r="C273" s="50" t="s">
        <v>267</v>
      </c>
      <c r="D273" s="532" t="str">
        <f>'15CustomParticipants'!D$25</f>
        <v>Enter custom role 2</v>
      </c>
      <c r="E273" s="50" t="s">
        <v>53</v>
      </c>
      <c r="F273" s="535" t="str">
        <f t="shared" si="30"/>
        <v>Debra Nesbit</v>
      </c>
      <c r="G273" s="543"/>
      <c r="H273" s="544">
        <f>Table3[[#This Row],[Hrs Rank]]</f>
        <v>0</v>
      </c>
      <c r="I273" s="534">
        <f t="shared" si="28"/>
        <v>0</v>
      </c>
      <c r="J273" s="534">
        <f t="shared" si="29"/>
        <v>0</v>
      </c>
      <c r="K273" s="551"/>
      <c r="L273" s="551"/>
      <c r="M273" s="547" t="s">
        <v>228</v>
      </c>
      <c r="N273" s="547" t="s">
        <v>228</v>
      </c>
      <c r="O273" s="548"/>
      <c r="P273" s="549"/>
      <c r="Q273" s="550"/>
      <c r="R273" s="550"/>
      <c r="S273" s="549"/>
      <c r="T273" s="550"/>
      <c r="U273" s="550"/>
      <c r="V273" s="549"/>
      <c r="W273" s="550"/>
      <c r="X273" s="550"/>
      <c r="Y273" s="549"/>
      <c r="Z273" s="550"/>
      <c r="AA273" s="550"/>
      <c r="AB273" s="549"/>
      <c r="AC273" s="550"/>
      <c r="AD273" s="550"/>
      <c r="AE273" s="549"/>
      <c r="AF273" s="550"/>
      <c r="AG273" s="550"/>
      <c r="AH273" s="549"/>
      <c r="AI273" s="550"/>
      <c r="AJ273" s="550"/>
      <c r="AK273" s="549"/>
      <c r="AL273" s="550"/>
      <c r="AM273" s="550"/>
      <c r="AN273" s="549"/>
      <c r="AO273" s="550"/>
      <c r="AP273" s="550"/>
      <c r="AQ273" s="549"/>
      <c r="AR273" s="550"/>
      <c r="AS273" s="550"/>
      <c r="AT273" s="549"/>
      <c r="AU273" s="550"/>
      <c r="AV273" s="550"/>
      <c r="AW273" s="549"/>
      <c r="AX273" s="550"/>
      <c r="AY273" s="550"/>
      <c r="AZ273" s="549"/>
      <c r="BA273" s="550"/>
      <c r="BB273" s="550"/>
      <c r="BC273" s="550"/>
    </row>
    <row r="274" spans="1:55" s="519" customFormat="1" hidden="1">
      <c r="A274" s="531" t="str">
        <f t="shared" si="26"/>
        <v>CP</v>
      </c>
      <c r="B274" s="50" t="str">
        <f t="shared" si="27"/>
        <v>Div12</v>
      </c>
      <c r="C274" s="50" t="s">
        <v>267</v>
      </c>
      <c r="D274" s="532" t="str">
        <f>'15CustomParticipants'!D$25</f>
        <v>Enter custom role 2</v>
      </c>
      <c r="E274" s="50" t="s">
        <v>53</v>
      </c>
      <c r="F274" s="535" t="str">
        <f t="shared" si="30"/>
        <v>Debra Nesbit</v>
      </c>
      <c r="G274" s="543"/>
      <c r="H274" s="544">
        <f>Table3[[#This Row],[Hrs Rank]]</f>
        <v>0</v>
      </c>
      <c r="I274" s="534">
        <f t="shared" si="28"/>
        <v>0</v>
      </c>
      <c r="J274" s="534">
        <f t="shared" si="29"/>
        <v>0</v>
      </c>
      <c r="K274" s="551"/>
      <c r="L274" s="551"/>
      <c r="M274" s="547" t="s">
        <v>228</v>
      </c>
      <c r="N274" s="547" t="s">
        <v>228</v>
      </c>
      <c r="O274" s="548"/>
      <c r="P274" s="549"/>
      <c r="Q274" s="550"/>
      <c r="R274" s="550"/>
      <c r="S274" s="549"/>
      <c r="T274" s="550"/>
      <c r="U274" s="550"/>
      <c r="V274" s="549"/>
      <c r="W274" s="550"/>
      <c r="X274" s="550"/>
      <c r="Y274" s="549"/>
      <c r="Z274" s="550"/>
      <c r="AA274" s="550"/>
      <c r="AB274" s="549"/>
      <c r="AC274" s="550"/>
      <c r="AD274" s="550"/>
      <c r="AE274" s="549"/>
      <c r="AF274" s="550"/>
      <c r="AG274" s="550"/>
      <c r="AH274" s="549"/>
      <c r="AI274" s="550"/>
      <c r="AJ274" s="550"/>
      <c r="AK274" s="549"/>
      <c r="AL274" s="550"/>
      <c r="AM274" s="550"/>
      <c r="AN274" s="549"/>
      <c r="AO274" s="550"/>
      <c r="AP274" s="550"/>
      <c r="AQ274" s="549"/>
      <c r="AR274" s="550"/>
      <c r="AS274" s="550"/>
      <c r="AT274" s="549"/>
      <c r="AU274" s="550"/>
      <c r="AV274" s="550"/>
      <c r="AW274" s="549"/>
      <c r="AX274" s="550"/>
      <c r="AY274" s="550"/>
      <c r="AZ274" s="549"/>
      <c r="BA274" s="550"/>
      <c r="BB274" s="550"/>
      <c r="BC274" s="550"/>
    </row>
    <row r="275" spans="1:55" s="519" customFormat="1" hidden="1">
      <c r="A275" s="531" t="str">
        <f t="shared" si="26"/>
        <v>CP</v>
      </c>
      <c r="B275" s="50" t="str">
        <f t="shared" si="27"/>
        <v>Div12</v>
      </c>
      <c r="C275" s="50" t="s">
        <v>267</v>
      </c>
      <c r="D275" s="532" t="str">
        <f>'15CustomParticipants'!D$25</f>
        <v>Enter custom role 2</v>
      </c>
      <c r="E275" s="50" t="s">
        <v>53</v>
      </c>
      <c r="F275" s="535" t="str">
        <f t="shared" si="30"/>
        <v>Debra Nesbit</v>
      </c>
      <c r="G275" s="543"/>
      <c r="H275" s="544">
        <f>Table3[[#This Row],[Hrs Rank]]</f>
        <v>0</v>
      </c>
      <c r="I275" s="534">
        <f t="shared" si="28"/>
        <v>0</v>
      </c>
      <c r="J275" s="534">
        <f t="shared" si="29"/>
        <v>0</v>
      </c>
      <c r="K275" s="551"/>
      <c r="L275" s="551"/>
      <c r="M275" s="547" t="s">
        <v>228</v>
      </c>
      <c r="N275" s="547" t="s">
        <v>228</v>
      </c>
      <c r="O275" s="548"/>
      <c r="P275" s="549"/>
      <c r="Q275" s="550"/>
      <c r="R275" s="550"/>
      <c r="S275" s="549"/>
      <c r="T275" s="550"/>
      <c r="U275" s="550"/>
      <c r="V275" s="549"/>
      <c r="W275" s="550"/>
      <c r="X275" s="550"/>
      <c r="Y275" s="549"/>
      <c r="Z275" s="550"/>
      <c r="AA275" s="550"/>
      <c r="AB275" s="549"/>
      <c r="AC275" s="550"/>
      <c r="AD275" s="550"/>
      <c r="AE275" s="549"/>
      <c r="AF275" s="550"/>
      <c r="AG275" s="550"/>
      <c r="AH275" s="549"/>
      <c r="AI275" s="550"/>
      <c r="AJ275" s="550"/>
      <c r="AK275" s="549"/>
      <c r="AL275" s="550"/>
      <c r="AM275" s="550"/>
      <c r="AN275" s="549"/>
      <c r="AO275" s="550"/>
      <c r="AP275" s="550"/>
      <c r="AQ275" s="549"/>
      <c r="AR275" s="550"/>
      <c r="AS275" s="550"/>
      <c r="AT275" s="549"/>
      <c r="AU275" s="550"/>
      <c r="AV275" s="550"/>
      <c r="AW275" s="549"/>
      <c r="AX275" s="550"/>
      <c r="AY275" s="550"/>
      <c r="AZ275" s="549"/>
      <c r="BA275" s="550"/>
      <c r="BB275" s="550"/>
      <c r="BC275" s="550"/>
    </row>
    <row r="276" spans="1:55" s="519" customFormat="1" hidden="1">
      <c r="A276" s="531" t="str">
        <f t="shared" si="26"/>
        <v>CP</v>
      </c>
      <c r="B276" s="50" t="str">
        <f t="shared" si="27"/>
        <v>Div12</v>
      </c>
      <c r="C276" s="50" t="s">
        <v>267</v>
      </c>
      <c r="D276" s="532" t="str">
        <f>'15CustomParticipants'!D$25</f>
        <v>Enter custom role 2</v>
      </c>
      <c r="E276" s="50" t="s">
        <v>53</v>
      </c>
      <c r="F276" s="535" t="str">
        <f t="shared" si="30"/>
        <v>Debra Nesbit</v>
      </c>
      <c r="G276" s="543"/>
      <c r="H276" s="544">
        <f>Table3[[#This Row],[Hrs Rank]]</f>
        <v>0</v>
      </c>
      <c r="I276" s="534">
        <f t="shared" si="28"/>
        <v>0</v>
      </c>
      <c r="J276" s="534">
        <f t="shared" si="29"/>
        <v>0</v>
      </c>
      <c r="K276" s="551"/>
      <c r="L276" s="551"/>
      <c r="M276" s="547" t="s">
        <v>228</v>
      </c>
      <c r="N276" s="547" t="s">
        <v>228</v>
      </c>
      <c r="O276" s="548"/>
      <c r="P276" s="549"/>
      <c r="Q276" s="550"/>
      <c r="R276" s="550"/>
      <c r="S276" s="549"/>
      <c r="T276" s="550"/>
      <c r="U276" s="550"/>
      <c r="V276" s="549"/>
      <c r="W276" s="550"/>
      <c r="X276" s="550"/>
      <c r="Y276" s="549"/>
      <c r="Z276" s="550"/>
      <c r="AA276" s="550"/>
      <c r="AB276" s="549"/>
      <c r="AC276" s="550"/>
      <c r="AD276" s="550"/>
      <c r="AE276" s="549"/>
      <c r="AF276" s="550"/>
      <c r="AG276" s="550"/>
      <c r="AH276" s="549"/>
      <c r="AI276" s="550"/>
      <c r="AJ276" s="550"/>
      <c r="AK276" s="549"/>
      <c r="AL276" s="550"/>
      <c r="AM276" s="550"/>
      <c r="AN276" s="549"/>
      <c r="AO276" s="550"/>
      <c r="AP276" s="550"/>
      <c r="AQ276" s="549"/>
      <c r="AR276" s="550"/>
      <c r="AS276" s="550"/>
      <c r="AT276" s="549"/>
      <c r="AU276" s="550"/>
      <c r="AV276" s="550"/>
      <c r="AW276" s="549"/>
      <c r="AX276" s="550"/>
      <c r="AY276" s="550"/>
      <c r="AZ276" s="549"/>
      <c r="BA276" s="550"/>
      <c r="BB276" s="550"/>
      <c r="BC276" s="550"/>
    </row>
    <row r="277" spans="1:55" s="519" customFormat="1" hidden="1">
      <c r="A277" s="531" t="str">
        <f t="shared" si="26"/>
        <v>CP</v>
      </c>
      <c r="B277" s="50" t="str">
        <f t="shared" si="27"/>
        <v>Div12</v>
      </c>
      <c r="C277" s="50" t="s">
        <v>267</v>
      </c>
      <c r="D277" s="532" t="str">
        <f>'15CustomParticipants'!D$25</f>
        <v>Enter custom role 2</v>
      </c>
      <c r="E277" s="50" t="s">
        <v>52</v>
      </c>
      <c r="F277" s="535" t="str">
        <f t="shared" si="30"/>
        <v>Debra Nesbit</v>
      </c>
      <c r="G277" s="543"/>
      <c r="H277" s="544">
        <f>Table3[[#This Row],[Hrs Rank]]</f>
        <v>0</v>
      </c>
      <c r="I277" s="534">
        <f t="shared" si="28"/>
        <v>0</v>
      </c>
      <c r="J277" s="534">
        <f t="shared" si="29"/>
        <v>0</v>
      </c>
      <c r="K277" s="551"/>
      <c r="L277" s="551"/>
      <c r="M277" s="547" t="s">
        <v>228</v>
      </c>
      <c r="N277" s="547" t="s">
        <v>228</v>
      </c>
      <c r="O277" s="548"/>
      <c r="P277" s="549"/>
      <c r="Q277" s="550"/>
      <c r="R277" s="550"/>
      <c r="S277" s="549"/>
      <c r="T277" s="550"/>
      <c r="U277" s="550"/>
      <c r="V277" s="549"/>
      <c r="W277" s="550"/>
      <c r="X277" s="550"/>
      <c r="Y277" s="549"/>
      <c r="Z277" s="550"/>
      <c r="AA277" s="550"/>
      <c r="AB277" s="549"/>
      <c r="AC277" s="550"/>
      <c r="AD277" s="550"/>
      <c r="AE277" s="549"/>
      <c r="AF277" s="550"/>
      <c r="AG277" s="550"/>
      <c r="AH277" s="549"/>
      <c r="AI277" s="550"/>
      <c r="AJ277" s="550"/>
      <c r="AK277" s="549"/>
      <c r="AL277" s="550"/>
      <c r="AM277" s="550"/>
      <c r="AN277" s="549"/>
      <c r="AO277" s="550"/>
      <c r="AP277" s="550"/>
      <c r="AQ277" s="549"/>
      <c r="AR277" s="550"/>
      <c r="AS277" s="550"/>
      <c r="AT277" s="549"/>
      <c r="AU277" s="550"/>
      <c r="AV277" s="550"/>
      <c r="AW277" s="549"/>
      <c r="AX277" s="550"/>
      <c r="AY277" s="550"/>
      <c r="AZ277" s="549"/>
      <c r="BA277" s="550"/>
      <c r="BB277" s="550"/>
      <c r="BC277" s="550"/>
    </row>
    <row r="278" spans="1:55" s="519" customFormat="1" hidden="1">
      <c r="A278" s="531" t="str">
        <f t="shared" si="26"/>
        <v>CP</v>
      </c>
      <c r="B278" s="50" t="str">
        <f t="shared" si="27"/>
        <v>Div12</v>
      </c>
      <c r="C278" s="50" t="s">
        <v>267</v>
      </c>
      <c r="D278" s="532" t="str">
        <f>'15CustomParticipants'!D$25</f>
        <v>Enter custom role 2</v>
      </c>
      <c r="E278" s="50" t="s">
        <v>52</v>
      </c>
      <c r="F278" s="535" t="str">
        <f t="shared" si="30"/>
        <v>Debra Nesbit</v>
      </c>
      <c r="G278" s="543"/>
      <c r="H278" s="544">
        <f>Table3[[#This Row],[Hrs Rank]]</f>
        <v>0</v>
      </c>
      <c r="I278" s="534">
        <f t="shared" si="28"/>
        <v>0</v>
      </c>
      <c r="J278" s="534">
        <f t="shared" si="29"/>
        <v>0</v>
      </c>
      <c r="K278" s="551"/>
      <c r="L278" s="551"/>
      <c r="M278" s="547" t="s">
        <v>228</v>
      </c>
      <c r="N278" s="547" t="s">
        <v>228</v>
      </c>
      <c r="O278" s="548"/>
      <c r="P278" s="549"/>
      <c r="Q278" s="550"/>
      <c r="R278" s="550"/>
      <c r="S278" s="549"/>
      <c r="T278" s="550"/>
      <c r="U278" s="550"/>
      <c r="V278" s="549"/>
      <c r="W278" s="550"/>
      <c r="X278" s="550"/>
      <c r="Y278" s="549"/>
      <c r="Z278" s="550"/>
      <c r="AA278" s="550"/>
      <c r="AB278" s="549"/>
      <c r="AC278" s="550"/>
      <c r="AD278" s="550"/>
      <c r="AE278" s="549"/>
      <c r="AF278" s="550"/>
      <c r="AG278" s="550"/>
      <c r="AH278" s="549"/>
      <c r="AI278" s="550"/>
      <c r="AJ278" s="550"/>
      <c r="AK278" s="549"/>
      <c r="AL278" s="550"/>
      <c r="AM278" s="550"/>
      <c r="AN278" s="549"/>
      <c r="AO278" s="550"/>
      <c r="AP278" s="550"/>
      <c r="AQ278" s="549"/>
      <c r="AR278" s="550"/>
      <c r="AS278" s="550"/>
      <c r="AT278" s="549"/>
      <c r="AU278" s="550"/>
      <c r="AV278" s="550"/>
      <c r="AW278" s="549"/>
      <c r="AX278" s="550"/>
      <c r="AY278" s="550"/>
      <c r="AZ278" s="549"/>
      <c r="BA278" s="550"/>
      <c r="BB278" s="550"/>
      <c r="BC278" s="550"/>
    </row>
    <row r="279" spans="1:55" s="519" customFormat="1" hidden="1">
      <c r="A279" s="531" t="str">
        <f t="shared" si="26"/>
        <v>CP</v>
      </c>
      <c r="B279" s="50" t="str">
        <f t="shared" si="27"/>
        <v>Div12</v>
      </c>
      <c r="C279" s="50" t="s">
        <v>267</v>
      </c>
      <c r="D279" s="532" t="str">
        <f>'15CustomParticipants'!D$25</f>
        <v>Enter custom role 2</v>
      </c>
      <c r="E279" s="50" t="s">
        <v>52</v>
      </c>
      <c r="F279" s="535" t="str">
        <f t="shared" si="30"/>
        <v>Debra Nesbit</v>
      </c>
      <c r="G279" s="543"/>
      <c r="H279" s="544">
        <f>Table3[[#This Row],[Hrs Rank]]</f>
        <v>0</v>
      </c>
      <c r="I279" s="534">
        <f t="shared" si="28"/>
        <v>0</v>
      </c>
      <c r="J279" s="534">
        <f t="shared" si="29"/>
        <v>0</v>
      </c>
      <c r="K279" s="551"/>
      <c r="L279" s="551"/>
      <c r="M279" s="547" t="s">
        <v>228</v>
      </c>
      <c r="N279" s="547" t="s">
        <v>228</v>
      </c>
      <c r="O279" s="548"/>
      <c r="P279" s="549"/>
      <c r="Q279" s="550"/>
      <c r="R279" s="550"/>
      <c r="S279" s="549"/>
      <c r="T279" s="550"/>
      <c r="U279" s="550"/>
      <c r="V279" s="549"/>
      <c r="W279" s="550"/>
      <c r="X279" s="550"/>
      <c r="Y279" s="549"/>
      <c r="Z279" s="550"/>
      <c r="AA279" s="550"/>
      <c r="AB279" s="549"/>
      <c r="AC279" s="550"/>
      <c r="AD279" s="550"/>
      <c r="AE279" s="549"/>
      <c r="AF279" s="550"/>
      <c r="AG279" s="550"/>
      <c r="AH279" s="549"/>
      <c r="AI279" s="550"/>
      <c r="AJ279" s="550"/>
      <c r="AK279" s="549"/>
      <c r="AL279" s="550"/>
      <c r="AM279" s="550"/>
      <c r="AN279" s="549"/>
      <c r="AO279" s="550"/>
      <c r="AP279" s="550"/>
      <c r="AQ279" s="549"/>
      <c r="AR279" s="550"/>
      <c r="AS279" s="550"/>
      <c r="AT279" s="549"/>
      <c r="AU279" s="550"/>
      <c r="AV279" s="550"/>
      <c r="AW279" s="549"/>
      <c r="AX279" s="550"/>
      <c r="AY279" s="550"/>
      <c r="AZ279" s="549"/>
      <c r="BA279" s="550"/>
      <c r="BB279" s="550"/>
      <c r="BC279" s="550"/>
    </row>
    <row r="280" spans="1:55" s="519" customFormat="1" hidden="1">
      <c r="A280" s="531" t="str">
        <f t="shared" si="26"/>
        <v>CP</v>
      </c>
      <c r="B280" s="50" t="str">
        <f t="shared" si="27"/>
        <v>Div12</v>
      </c>
      <c r="C280" s="50" t="s">
        <v>267</v>
      </c>
      <c r="D280" s="532" t="str">
        <f>'15CustomParticipants'!D$25</f>
        <v>Enter custom role 2</v>
      </c>
      <c r="E280" s="50" t="s">
        <v>52</v>
      </c>
      <c r="F280" s="535" t="str">
        <f t="shared" si="30"/>
        <v>Debra Nesbit</v>
      </c>
      <c r="G280" s="543"/>
      <c r="H280" s="544">
        <f>Table3[[#This Row],[Hrs Rank]]</f>
        <v>0</v>
      </c>
      <c r="I280" s="534">
        <f t="shared" si="28"/>
        <v>0</v>
      </c>
      <c r="J280" s="534">
        <f t="shared" si="29"/>
        <v>0</v>
      </c>
      <c r="K280" s="551"/>
      <c r="L280" s="551"/>
      <c r="M280" s="547" t="s">
        <v>228</v>
      </c>
      <c r="N280" s="547" t="s">
        <v>228</v>
      </c>
      <c r="O280" s="548"/>
      <c r="P280" s="549"/>
      <c r="Q280" s="550"/>
      <c r="R280" s="550"/>
      <c r="S280" s="549"/>
      <c r="T280" s="550"/>
      <c r="U280" s="550"/>
      <c r="V280" s="549"/>
      <c r="W280" s="550"/>
      <c r="X280" s="550"/>
      <c r="Y280" s="549"/>
      <c r="Z280" s="550"/>
      <c r="AA280" s="550"/>
      <c r="AB280" s="549"/>
      <c r="AC280" s="550"/>
      <c r="AD280" s="550"/>
      <c r="AE280" s="549"/>
      <c r="AF280" s="550"/>
      <c r="AG280" s="550"/>
      <c r="AH280" s="549"/>
      <c r="AI280" s="550"/>
      <c r="AJ280" s="550"/>
      <c r="AK280" s="549"/>
      <c r="AL280" s="550"/>
      <c r="AM280" s="550"/>
      <c r="AN280" s="549"/>
      <c r="AO280" s="550"/>
      <c r="AP280" s="550"/>
      <c r="AQ280" s="549"/>
      <c r="AR280" s="550"/>
      <c r="AS280" s="550"/>
      <c r="AT280" s="549"/>
      <c r="AU280" s="550"/>
      <c r="AV280" s="550"/>
      <c r="AW280" s="549"/>
      <c r="AX280" s="550"/>
      <c r="AY280" s="550"/>
      <c r="AZ280" s="549"/>
      <c r="BA280" s="550"/>
      <c r="BB280" s="550"/>
      <c r="BC280" s="550"/>
    </row>
    <row r="281" spans="1:55" s="519" customFormat="1" hidden="1">
      <c r="A281" s="531" t="str">
        <f t="shared" si="26"/>
        <v>CP</v>
      </c>
      <c r="B281" s="50" t="str">
        <f t="shared" si="27"/>
        <v>Div12</v>
      </c>
      <c r="C281" s="50" t="s">
        <v>267</v>
      </c>
      <c r="D281" s="532" t="str">
        <f>'15CustomParticipants'!D$41</f>
        <v>Enter custom role 3</v>
      </c>
      <c r="E281" s="50" t="s">
        <v>53</v>
      </c>
      <c r="F281" s="535" t="str">
        <f t="shared" ref="F281:F296" si="31">R.3PAname</f>
        <v>Debra Nesbit</v>
      </c>
      <c r="G281" s="543"/>
      <c r="H281" s="544">
        <f>Table3[[#This Row],[Hrs Rank]]</f>
        <v>0</v>
      </c>
      <c r="I281" s="534">
        <f t="shared" si="28"/>
        <v>0</v>
      </c>
      <c r="J281" s="534">
        <f t="shared" si="29"/>
        <v>0</v>
      </c>
      <c r="K281" s="551"/>
      <c r="L281" s="551"/>
      <c r="M281" s="547" t="s">
        <v>228</v>
      </c>
      <c r="N281" s="547" t="s">
        <v>228</v>
      </c>
      <c r="O281" s="548"/>
      <c r="P281" s="549"/>
      <c r="Q281" s="550"/>
      <c r="R281" s="550"/>
      <c r="S281" s="549"/>
      <c r="T281" s="550"/>
      <c r="U281" s="550"/>
      <c r="V281" s="549"/>
      <c r="W281" s="550"/>
      <c r="X281" s="550"/>
      <c r="Y281" s="549"/>
      <c r="Z281" s="550"/>
      <c r="AA281" s="550"/>
      <c r="AB281" s="549"/>
      <c r="AC281" s="550"/>
      <c r="AD281" s="550"/>
      <c r="AE281" s="549"/>
      <c r="AF281" s="550"/>
      <c r="AG281" s="550"/>
      <c r="AH281" s="549"/>
      <c r="AI281" s="550"/>
      <c r="AJ281" s="550"/>
      <c r="AK281" s="549"/>
      <c r="AL281" s="550"/>
      <c r="AM281" s="550"/>
      <c r="AN281" s="549"/>
      <c r="AO281" s="550"/>
      <c r="AP281" s="550"/>
      <c r="AQ281" s="549"/>
      <c r="AR281" s="550"/>
      <c r="AS281" s="550"/>
      <c r="AT281" s="549"/>
      <c r="AU281" s="550"/>
      <c r="AV281" s="550"/>
      <c r="AW281" s="549"/>
      <c r="AX281" s="550"/>
      <c r="AY281" s="550"/>
      <c r="AZ281" s="549"/>
      <c r="BA281" s="550"/>
      <c r="BB281" s="550"/>
      <c r="BC281" s="550"/>
    </row>
    <row r="282" spans="1:55" s="519" customFormat="1" hidden="1">
      <c r="A282" s="531" t="str">
        <f t="shared" si="26"/>
        <v>CP</v>
      </c>
      <c r="B282" s="50" t="str">
        <f t="shared" si="27"/>
        <v>Div12</v>
      </c>
      <c r="C282" s="50" t="s">
        <v>267</v>
      </c>
      <c r="D282" s="532" t="str">
        <f>'15CustomParticipants'!D$41</f>
        <v>Enter custom role 3</v>
      </c>
      <c r="E282" s="50" t="s">
        <v>53</v>
      </c>
      <c r="F282" s="535" t="str">
        <f t="shared" si="31"/>
        <v>Debra Nesbit</v>
      </c>
      <c r="G282" s="543"/>
      <c r="H282" s="544">
        <f>Table3[[#This Row],[Hrs Rank]]</f>
        <v>0</v>
      </c>
      <c r="I282" s="534">
        <f t="shared" si="28"/>
        <v>0</v>
      </c>
      <c r="J282" s="534">
        <f t="shared" si="29"/>
        <v>0</v>
      </c>
      <c r="K282" s="551"/>
      <c r="L282" s="551"/>
      <c r="M282" s="547" t="s">
        <v>228</v>
      </c>
      <c r="N282" s="547" t="s">
        <v>228</v>
      </c>
      <c r="O282" s="548"/>
      <c r="P282" s="549"/>
      <c r="Q282" s="550"/>
      <c r="R282" s="550"/>
      <c r="S282" s="549"/>
      <c r="T282" s="550"/>
      <c r="U282" s="550"/>
      <c r="V282" s="549"/>
      <c r="W282" s="550"/>
      <c r="X282" s="550"/>
      <c r="Y282" s="549"/>
      <c r="Z282" s="550"/>
      <c r="AA282" s="550"/>
      <c r="AB282" s="549"/>
      <c r="AC282" s="550"/>
      <c r="AD282" s="550"/>
      <c r="AE282" s="549"/>
      <c r="AF282" s="550"/>
      <c r="AG282" s="550"/>
      <c r="AH282" s="549"/>
      <c r="AI282" s="550"/>
      <c r="AJ282" s="550"/>
      <c r="AK282" s="549"/>
      <c r="AL282" s="550"/>
      <c r="AM282" s="550"/>
      <c r="AN282" s="549"/>
      <c r="AO282" s="550"/>
      <c r="AP282" s="550"/>
      <c r="AQ282" s="549"/>
      <c r="AR282" s="550"/>
      <c r="AS282" s="550"/>
      <c r="AT282" s="549"/>
      <c r="AU282" s="550"/>
      <c r="AV282" s="550"/>
      <c r="AW282" s="549"/>
      <c r="AX282" s="550"/>
      <c r="AY282" s="550"/>
      <c r="AZ282" s="549"/>
      <c r="BA282" s="550"/>
      <c r="BB282" s="550"/>
      <c r="BC282" s="550"/>
    </row>
    <row r="283" spans="1:55" s="519" customFormat="1" hidden="1">
      <c r="A283" s="531" t="str">
        <f t="shared" si="26"/>
        <v>CP</v>
      </c>
      <c r="B283" s="50" t="str">
        <f t="shared" si="27"/>
        <v>Div12</v>
      </c>
      <c r="C283" s="50" t="s">
        <v>267</v>
      </c>
      <c r="D283" s="532" t="str">
        <f>'15CustomParticipants'!D$41</f>
        <v>Enter custom role 3</v>
      </c>
      <c r="E283" s="50" t="s">
        <v>53</v>
      </c>
      <c r="F283" s="535" t="str">
        <f t="shared" si="31"/>
        <v>Debra Nesbit</v>
      </c>
      <c r="G283" s="543"/>
      <c r="H283" s="544">
        <f>Table3[[#This Row],[Hrs Rank]]</f>
        <v>0</v>
      </c>
      <c r="I283" s="534">
        <f t="shared" si="28"/>
        <v>0</v>
      </c>
      <c r="J283" s="534">
        <f t="shared" si="29"/>
        <v>0</v>
      </c>
      <c r="K283" s="551"/>
      <c r="L283" s="551"/>
      <c r="M283" s="547" t="s">
        <v>228</v>
      </c>
      <c r="N283" s="547" t="s">
        <v>228</v>
      </c>
      <c r="O283" s="548"/>
      <c r="P283" s="549"/>
      <c r="Q283" s="550"/>
      <c r="R283" s="550"/>
      <c r="S283" s="549"/>
      <c r="T283" s="550"/>
      <c r="U283" s="550"/>
      <c r="V283" s="549"/>
      <c r="W283" s="550"/>
      <c r="X283" s="550"/>
      <c r="Y283" s="549"/>
      <c r="Z283" s="550"/>
      <c r="AA283" s="550"/>
      <c r="AB283" s="549"/>
      <c r="AC283" s="550"/>
      <c r="AD283" s="550"/>
      <c r="AE283" s="549"/>
      <c r="AF283" s="550"/>
      <c r="AG283" s="550"/>
      <c r="AH283" s="549"/>
      <c r="AI283" s="550"/>
      <c r="AJ283" s="550"/>
      <c r="AK283" s="549"/>
      <c r="AL283" s="550"/>
      <c r="AM283" s="550"/>
      <c r="AN283" s="549"/>
      <c r="AO283" s="550"/>
      <c r="AP283" s="550"/>
      <c r="AQ283" s="549"/>
      <c r="AR283" s="550"/>
      <c r="AS283" s="550"/>
      <c r="AT283" s="549"/>
      <c r="AU283" s="550"/>
      <c r="AV283" s="550"/>
      <c r="AW283" s="549"/>
      <c r="AX283" s="550"/>
      <c r="AY283" s="550"/>
      <c r="AZ283" s="549"/>
      <c r="BA283" s="550"/>
      <c r="BB283" s="550"/>
      <c r="BC283" s="550"/>
    </row>
    <row r="284" spans="1:55" s="519" customFormat="1" hidden="1">
      <c r="A284" s="531" t="str">
        <f t="shared" si="26"/>
        <v>CP</v>
      </c>
      <c r="B284" s="50" t="str">
        <f t="shared" si="27"/>
        <v>Div12</v>
      </c>
      <c r="C284" s="50" t="s">
        <v>267</v>
      </c>
      <c r="D284" s="532" t="str">
        <f>'15CustomParticipants'!D$41</f>
        <v>Enter custom role 3</v>
      </c>
      <c r="E284" s="50" t="s">
        <v>53</v>
      </c>
      <c r="F284" s="535" t="str">
        <f t="shared" si="31"/>
        <v>Debra Nesbit</v>
      </c>
      <c r="G284" s="543"/>
      <c r="H284" s="544">
        <f>Table3[[#This Row],[Hrs Rank]]</f>
        <v>0</v>
      </c>
      <c r="I284" s="534">
        <f t="shared" si="28"/>
        <v>0</v>
      </c>
      <c r="J284" s="534">
        <f t="shared" si="29"/>
        <v>0</v>
      </c>
      <c r="K284" s="551"/>
      <c r="L284" s="551"/>
      <c r="M284" s="547" t="s">
        <v>228</v>
      </c>
      <c r="N284" s="547" t="s">
        <v>228</v>
      </c>
      <c r="O284" s="548"/>
      <c r="P284" s="549"/>
      <c r="Q284" s="550"/>
      <c r="R284" s="550"/>
      <c r="S284" s="549"/>
      <c r="T284" s="550"/>
      <c r="U284" s="550"/>
      <c r="V284" s="549"/>
      <c r="W284" s="550"/>
      <c r="X284" s="550"/>
      <c r="Y284" s="549"/>
      <c r="Z284" s="550"/>
      <c r="AA284" s="550"/>
      <c r="AB284" s="549"/>
      <c r="AC284" s="550"/>
      <c r="AD284" s="550"/>
      <c r="AE284" s="549"/>
      <c r="AF284" s="550"/>
      <c r="AG284" s="550"/>
      <c r="AH284" s="549"/>
      <c r="AI284" s="550"/>
      <c r="AJ284" s="550"/>
      <c r="AK284" s="549"/>
      <c r="AL284" s="550"/>
      <c r="AM284" s="550"/>
      <c r="AN284" s="549"/>
      <c r="AO284" s="550"/>
      <c r="AP284" s="550"/>
      <c r="AQ284" s="549"/>
      <c r="AR284" s="550"/>
      <c r="AS284" s="550"/>
      <c r="AT284" s="549"/>
      <c r="AU284" s="550"/>
      <c r="AV284" s="550"/>
      <c r="AW284" s="549"/>
      <c r="AX284" s="550"/>
      <c r="AY284" s="550"/>
      <c r="AZ284" s="549"/>
      <c r="BA284" s="550"/>
      <c r="BB284" s="550"/>
      <c r="BC284" s="550"/>
    </row>
    <row r="285" spans="1:55" s="519" customFormat="1" hidden="1">
      <c r="A285" s="531" t="str">
        <f t="shared" si="26"/>
        <v>CP</v>
      </c>
      <c r="B285" s="50" t="str">
        <f t="shared" si="27"/>
        <v>Div12</v>
      </c>
      <c r="C285" s="50" t="s">
        <v>267</v>
      </c>
      <c r="D285" s="532" t="str">
        <f>'15CustomParticipants'!D$41</f>
        <v>Enter custom role 3</v>
      </c>
      <c r="E285" s="50" t="s">
        <v>52</v>
      </c>
      <c r="F285" s="535" t="str">
        <f t="shared" si="31"/>
        <v>Debra Nesbit</v>
      </c>
      <c r="G285" s="543"/>
      <c r="H285" s="544">
        <f>Table3[[#This Row],[Hrs Rank]]</f>
        <v>0</v>
      </c>
      <c r="I285" s="534">
        <f t="shared" si="28"/>
        <v>0</v>
      </c>
      <c r="J285" s="534">
        <f t="shared" si="29"/>
        <v>0</v>
      </c>
      <c r="K285" s="551"/>
      <c r="L285" s="551"/>
      <c r="M285" s="547" t="s">
        <v>228</v>
      </c>
      <c r="N285" s="547" t="s">
        <v>228</v>
      </c>
      <c r="O285" s="548"/>
      <c r="P285" s="549"/>
      <c r="Q285" s="550"/>
      <c r="R285" s="550"/>
      <c r="S285" s="549"/>
      <c r="T285" s="550"/>
      <c r="U285" s="550"/>
      <c r="V285" s="549"/>
      <c r="W285" s="550"/>
      <c r="X285" s="550"/>
      <c r="Y285" s="549"/>
      <c r="Z285" s="550"/>
      <c r="AA285" s="550"/>
      <c r="AB285" s="549"/>
      <c r="AC285" s="550"/>
      <c r="AD285" s="550"/>
      <c r="AE285" s="549"/>
      <c r="AF285" s="550"/>
      <c r="AG285" s="550"/>
      <c r="AH285" s="549"/>
      <c r="AI285" s="550"/>
      <c r="AJ285" s="550"/>
      <c r="AK285" s="549"/>
      <c r="AL285" s="550"/>
      <c r="AM285" s="550"/>
      <c r="AN285" s="549"/>
      <c r="AO285" s="550"/>
      <c r="AP285" s="550"/>
      <c r="AQ285" s="549"/>
      <c r="AR285" s="550"/>
      <c r="AS285" s="550"/>
      <c r="AT285" s="549"/>
      <c r="AU285" s="550"/>
      <c r="AV285" s="550"/>
      <c r="AW285" s="549"/>
      <c r="AX285" s="550"/>
      <c r="AY285" s="550"/>
      <c r="AZ285" s="549"/>
      <c r="BA285" s="550"/>
      <c r="BB285" s="550"/>
      <c r="BC285" s="550"/>
    </row>
    <row r="286" spans="1:55" s="519" customFormat="1" hidden="1">
      <c r="A286" s="531" t="str">
        <f t="shared" si="26"/>
        <v>CP</v>
      </c>
      <c r="B286" s="50" t="str">
        <f t="shared" si="27"/>
        <v>Div12</v>
      </c>
      <c r="C286" s="50" t="s">
        <v>267</v>
      </c>
      <c r="D286" s="532" t="str">
        <f>'15CustomParticipants'!D$41</f>
        <v>Enter custom role 3</v>
      </c>
      <c r="E286" s="50" t="s">
        <v>52</v>
      </c>
      <c r="F286" s="535" t="str">
        <f t="shared" si="31"/>
        <v>Debra Nesbit</v>
      </c>
      <c r="G286" s="543"/>
      <c r="H286" s="544">
        <f>Table3[[#This Row],[Hrs Rank]]</f>
        <v>0</v>
      </c>
      <c r="I286" s="534">
        <f t="shared" si="28"/>
        <v>0</v>
      </c>
      <c r="J286" s="534">
        <f t="shared" si="29"/>
        <v>0</v>
      </c>
      <c r="K286" s="551"/>
      <c r="L286" s="551"/>
      <c r="M286" s="547" t="s">
        <v>228</v>
      </c>
      <c r="N286" s="547" t="s">
        <v>228</v>
      </c>
      <c r="O286" s="548"/>
      <c r="P286" s="549"/>
      <c r="Q286" s="550"/>
      <c r="R286" s="550"/>
      <c r="S286" s="549"/>
      <c r="T286" s="550"/>
      <c r="U286" s="550"/>
      <c r="V286" s="549"/>
      <c r="W286" s="550"/>
      <c r="X286" s="550"/>
      <c r="Y286" s="549"/>
      <c r="Z286" s="550"/>
      <c r="AA286" s="550"/>
      <c r="AB286" s="549"/>
      <c r="AC286" s="550"/>
      <c r="AD286" s="550"/>
      <c r="AE286" s="549"/>
      <c r="AF286" s="550"/>
      <c r="AG286" s="550"/>
      <c r="AH286" s="549"/>
      <c r="AI286" s="550"/>
      <c r="AJ286" s="550"/>
      <c r="AK286" s="549"/>
      <c r="AL286" s="550"/>
      <c r="AM286" s="550"/>
      <c r="AN286" s="549"/>
      <c r="AO286" s="550"/>
      <c r="AP286" s="550"/>
      <c r="AQ286" s="549"/>
      <c r="AR286" s="550"/>
      <c r="AS286" s="550"/>
      <c r="AT286" s="549"/>
      <c r="AU286" s="550"/>
      <c r="AV286" s="550"/>
      <c r="AW286" s="549"/>
      <c r="AX286" s="550"/>
      <c r="AY286" s="550"/>
      <c r="AZ286" s="549"/>
      <c r="BA286" s="550"/>
      <c r="BB286" s="550"/>
      <c r="BC286" s="550"/>
    </row>
    <row r="287" spans="1:55" s="519" customFormat="1" hidden="1">
      <c r="A287" s="531" t="str">
        <f t="shared" ref="A287:A296" si="32">R.1Division</f>
        <v>CP</v>
      </c>
      <c r="B287" s="50" t="str">
        <f t="shared" ref="B287:B296" si="33">R.1CodeName</f>
        <v>Div12</v>
      </c>
      <c r="C287" s="50" t="s">
        <v>267</v>
      </c>
      <c r="D287" s="532" t="str">
        <f>'15CustomParticipants'!D$41</f>
        <v>Enter custom role 3</v>
      </c>
      <c r="E287" s="50" t="s">
        <v>52</v>
      </c>
      <c r="F287" s="535" t="str">
        <f t="shared" si="31"/>
        <v>Debra Nesbit</v>
      </c>
      <c r="G287" s="543"/>
      <c r="H287" s="544">
        <f>Table3[[#This Row],[Hrs Rank]]</f>
        <v>0</v>
      </c>
      <c r="I287" s="534">
        <f t="shared" si="28"/>
        <v>0</v>
      </c>
      <c r="J287" s="534">
        <f t="shared" si="29"/>
        <v>0</v>
      </c>
      <c r="K287" s="551"/>
      <c r="L287" s="551"/>
      <c r="M287" s="547" t="s">
        <v>228</v>
      </c>
      <c r="N287" s="547" t="s">
        <v>228</v>
      </c>
      <c r="O287" s="548"/>
      <c r="P287" s="549"/>
      <c r="Q287" s="550"/>
      <c r="R287" s="550"/>
      <c r="S287" s="549"/>
      <c r="T287" s="550"/>
      <c r="U287" s="550"/>
      <c r="V287" s="549"/>
      <c r="W287" s="550"/>
      <c r="X287" s="550"/>
      <c r="Y287" s="549"/>
      <c r="Z287" s="550"/>
      <c r="AA287" s="550"/>
      <c r="AB287" s="549"/>
      <c r="AC287" s="550"/>
      <c r="AD287" s="550"/>
      <c r="AE287" s="549"/>
      <c r="AF287" s="550"/>
      <c r="AG287" s="550"/>
      <c r="AH287" s="549"/>
      <c r="AI287" s="550"/>
      <c r="AJ287" s="550"/>
      <c r="AK287" s="549"/>
      <c r="AL287" s="550"/>
      <c r="AM287" s="550"/>
      <c r="AN287" s="549"/>
      <c r="AO287" s="550"/>
      <c r="AP287" s="550"/>
      <c r="AQ287" s="549"/>
      <c r="AR287" s="550"/>
      <c r="AS287" s="550"/>
      <c r="AT287" s="549"/>
      <c r="AU287" s="550"/>
      <c r="AV287" s="550"/>
      <c r="AW287" s="549"/>
      <c r="AX287" s="550"/>
      <c r="AY287" s="550"/>
      <c r="AZ287" s="549"/>
      <c r="BA287" s="550"/>
      <c r="BB287" s="550"/>
      <c r="BC287" s="550"/>
    </row>
    <row r="288" spans="1:55" s="519" customFormat="1" hidden="1">
      <c r="A288" s="531" t="str">
        <f t="shared" si="32"/>
        <v>CP</v>
      </c>
      <c r="B288" s="50" t="str">
        <f t="shared" si="33"/>
        <v>Div12</v>
      </c>
      <c r="C288" s="50" t="s">
        <v>267</v>
      </c>
      <c r="D288" s="532" t="str">
        <f>'15CustomParticipants'!D$41</f>
        <v>Enter custom role 3</v>
      </c>
      <c r="E288" s="50" t="s">
        <v>52</v>
      </c>
      <c r="F288" s="535" t="str">
        <f t="shared" si="31"/>
        <v>Debra Nesbit</v>
      </c>
      <c r="G288" s="543"/>
      <c r="H288" s="544">
        <f>Table3[[#This Row],[Hrs Rank]]</f>
        <v>0</v>
      </c>
      <c r="I288" s="534">
        <f t="shared" si="28"/>
        <v>0</v>
      </c>
      <c r="J288" s="534">
        <f t="shared" si="29"/>
        <v>0</v>
      </c>
      <c r="K288" s="551"/>
      <c r="L288" s="551"/>
      <c r="M288" s="547" t="s">
        <v>228</v>
      </c>
      <c r="N288" s="547" t="s">
        <v>228</v>
      </c>
      <c r="O288" s="548"/>
      <c r="P288" s="549"/>
      <c r="Q288" s="550"/>
      <c r="R288" s="550"/>
      <c r="S288" s="549"/>
      <c r="T288" s="550"/>
      <c r="U288" s="550"/>
      <c r="V288" s="549"/>
      <c r="W288" s="550"/>
      <c r="X288" s="550"/>
      <c r="Y288" s="549"/>
      <c r="Z288" s="550"/>
      <c r="AA288" s="550"/>
      <c r="AB288" s="549"/>
      <c r="AC288" s="550"/>
      <c r="AD288" s="550"/>
      <c r="AE288" s="549"/>
      <c r="AF288" s="550"/>
      <c r="AG288" s="550"/>
      <c r="AH288" s="549"/>
      <c r="AI288" s="550"/>
      <c r="AJ288" s="550"/>
      <c r="AK288" s="549"/>
      <c r="AL288" s="550"/>
      <c r="AM288" s="550"/>
      <c r="AN288" s="549"/>
      <c r="AO288" s="550"/>
      <c r="AP288" s="550"/>
      <c r="AQ288" s="549"/>
      <c r="AR288" s="550"/>
      <c r="AS288" s="550"/>
      <c r="AT288" s="549"/>
      <c r="AU288" s="550"/>
      <c r="AV288" s="550"/>
      <c r="AW288" s="549"/>
      <c r="AX288" s="550"/>
      <c r="AY288" s="550"/>
      <c r="AZ288" s="549"/>
      <c r="BA288" s="550"/>
      <c r="BB288" s="550"/>
      <c r="BC288" s="550"/>
    </row>
    <row r="289" spans="1:55" s="519" customFormat="1" hidden="1">
      <c r="A289" s="531" t="str">
        <f t="shared" si="32"/>
        <v>CP</v>
      </c>
      <c r="B289" s="50" t="str">
        <f t="shared" si="33"/>
        <v>Div12</v>
      </c>
      <c r="C289" s="50" t="s">
        <v>267</v>
      </c>
      <c r="D289" s="532" t="str">
        <f>'15CustomParticipants'!D$57</f>
        <v>Enter custom role 4</v>
      </c>
      <c r="E289" s="50" t="s">
        <v>53</v>
      </c>
      <c r="F289" s="535" t="str">
        <f t="shared" si="31"/>
        <v>Debra Nesbit</v>
      </c>
      <c r="G289" s="543"/>
      <c r="H289" s="544">
        <f>Table3[[#This Row],[Hrs Rank]]</f>
        <v>0</v>
      </c>
      <c r="I289" s="534">
        <f t="shared" si="28"/>
        <v>0</v>
      </c>
      <c r="J289" s="534">
        <f t="shared" si="29"/>
        <v>0</v>
      </c>
      <c r="K289" s="551"/>
      <c r="L289" s="551"/>
      <c r="M289" s="547" t="s">
        <v>228</v>
      </c>
      <c r="N289" s="547" t="s">
        <v>228</v>
      </c>
      <c r="O289" s="548"/>
      <c r="P289" s="549"/>
      <c r="Q289" s="550"/>
      <c r="R289" s="550"/>
      <c r="S289" s="549"/>
      <c r="T289" s="550"/>
      <c r="U289" s="550"/>
      <c r="V289" s="549"/>
      <c r="W289" s="550"/>
      <c r="X289" s="550"/>
      <c r="Y289" s="549"/>
      <c r="Z289" s="550"/>
      <c r="AA289" s="550"/>
      <c r="AB289" s="549"/>
      <c r="AC289" s="550"/>
      <c r="AD289" s="550"/>
      <c r="AE289" s="549"/>
      <c r="AF289" s="550"/>
      <c r="AG289" s="550"/>
      <c r="AH289" s="549"/>
      <c r="AI289" s="550"/>
      <c r="AJ289" s="550"/>
      <c r="AK289" s="549"/>
      <c r="AL289" s="550"/>
      <c r="AM289" s="550"/>
      <c r="AN289" s="549"/>
      <c r="AO289" s="550"/>
      <c r="AP289" s="550"/>
      <c r="AQ289" s="549"/>
      <c r="AR289" s="550"/>
      <c r="AS289" s="550"/>
      <c r="AT289" s="549"/>
      <c r="AU289" s="550"/>
      <c r="AV289" s="550"/>
      <c r="AW289" s="549"/>
      <c r="AX289" s="550"/>
      <c r="AY289" s="550"/>
      <c r="AZ289" s="549"/>
      <c r="BA289" s="550"/>
      <c r="BB289" s="550"/>
      <c r="BC289" s="550"/>
    </row>
    <row r="290" spans="1:55" s="519" customFormat="1" hidden="1">
      <c r="A290" s="531" t="str">
        <f t="shared" si="32"/>
        <v>CP</v>
      </c>
      <c r="B290" s="50" t="str">
        <f t="shared" si="33"/>
        <v>Div12</v>
      </c>
      <c r="C290" s="50" t="s">
        <v>267</v>
      </c>
      <c r="D290" s="532" t="str">
        <f>'15CustomParticipants'!D$57</f>
        <v>Enter custom role 4</v>
      </c>
      <c r="E290" s="50" t="s">
        <v>53</v>
      </c>
      <c r="F290" s="535" t="str">
        <f t="shared" si="31"/>
        <v>Debra Nesbit</v>
      </c>
      <c r="G290" s="543"/>
      <c r="H290" s="544">
        <f>Table3[[#This Row],[Hrs Rank]]</f>
        <v>0</v>
      </c>
      <c r="I290" s="534">
        <f t="shared" si="28"/>
        <v>0</v>
      </c>
      <c r="J290" s="534">
        <f t="shared" si="29"/>
        <v>0</v>
      </c>
      <c r="K290" s="551"/>
      <c r="L290" s="551"/>
      <c r="M290" s="547" t="s">
        <v>228</v>
      </c>
      <c r="N290" s="547" t="s">
        <v>228</v>
      </c>
      <c r="O290" s="548"/>
      <c r="P290" s="549"/>
      <c r="Q290" s="550"/>
      <c r="R290" s="550"/>
      <c r="S290" s="549"/>
      <c r="T290" s="550"/>
      <c r="U290" s="550"/>
      <c r="V290" s="549"/>
      <c r="W290" s="550"/>
      <c r="X290" s="550"/>
      <c r="Y290" s="549"/>
      <c r="Z290" s="550"/>
      <c r="AA290" s="550"/>
      <c r="AB290" s="549"/>
      <c r="AC290" s="550"/>
      <c r="AD290" s="550"/>
      <c r="AE290" s="549"/>
      <c r="AF290" s="550"/>
      <c r="AG290" s="550"/>
      <c r="AH290" s="549"/>
      <c r="AI290" s="550"/>
      <c r="AJ290" s="550"/>
      <c r="AK290" s="549"/>
      <c r="AL290" s="550"/>
      <c r="AM290" s="550"/>
      <c r="AN290" s="549"/>
      <c r="AO290" s="550"/>
      <c r="AP290" s="550"/>
      <c r="AQ290" s="549"/>
      <c r="AR290" s="550"/>
      <c r="AS290" s="550"/>
      <c r="AT290" s="549"/>
      <c r="AU290" s="550"/>
      <c r="AV290" s="550"/>
      <c r="AW290" s="549"/>
      <c r="AX290" s="550"/>
      <c r="AY290" s="550"/>
      <c r="AZ290" s="549"/>
      <c r="BA290" s="550"/>
      <c r="BB290" s="550"/>
      <c r="BC290" s="550"/>
    </row>
    <row r="291" spans="1:55" s="519" customFormat="1" hidden="1">
      <c r="A291" s="531" t="str">
        <f t="shared" si="32"/>
        <v>CP</v>
      </c>
      <c r="B291" s="50" t="str">
        <f t="shared" si="33"/>
        <v>Div12</v>
      </c>
      <c r="C291" s="50" t="s">
        <v>267</v>
      </c>
      <c r="D291" s="532" t="str">
        <f>'15CustomParticipants'!D$57</f>
        <v>Enter custom role 4</v>
      </c>
      <c r="E291" s="50" t="s">
        <v>53</v>
      </c>
      <c r="F291" s="535" t="str">
        <f t="shared" si="31"/>
        <v>Debra Nesbit</v>
      </c>
      <c r="G291" s="543"/>
      <c r="H291" s="544">
        <f>Table3[[#This Row],[Hrs Rank]]</f>
        <v>0</v>
      </c>
      <c r="I291" s="534">
        <f t="shared" si="28"/>
        <v>0</v>
      </c>
      <c r="J291" s="534">
        <f t="shared" si="29"/>
        <v>0</v>
      </c>
      <c r="K291" s="551"/>
      <c r="L291" s="551"/>
      <c r="M291" s="547" t="s">
        <v>228</v>
      </c>
      <c r="N291" s="547" t="s">
        <v>228</v>
      </c>
      <c r="O291" s="548"/>
      <c r="P291" s="549"/>
      <c r="Q291" s="550"/>
      <c r="R291" s="550"/>
      <c r="S291" s="549"/>
      <c r="T291" s="550"/>
      <c r="U291" s="550"/>
      <c r="V291" s="549"/>
      <c r="W291" s="550"/>
      <c r="X291" s="550"/>
      <c r="Y291" s="549"/>
      <c r="Z291" s="550"/>
      <c r="AA291" s="550"/>
      <c r="AB291" s="549"/>
      <c r="AC291" s="550"/>
      <c r="AD291" s="550"/>
      <c r="AE291" s="549"/>
      <c r="AF291" s="550"/>
      <c r="AG291" s="550"/>
      <c r="AH291" s="549"/>
      <c r="AI291" s="550"/>
      <c r="AJ291" s="550"/>
      <c r="AK291" s="549"/>
      <c r="AL291" s="550"/>
      <c r="AM291" s="550"/>
      <c r="AN291" s="549"/>
      <c r="AO291" s="550"/>
      <c r="AP291" s="550"/>
      <c r="AQ291" s="549"/>
      <c r="AR291" s="550"/>
      <c r="AS291" s="550"/>
      <c r="AT291" s="549"/>
      <c r="AU291" s="550"/>
      <c r="AV291" s="550"/>
      <c r="AW291" s="549"/>
      <c r="AX291" s="550"/>
      <c r="AY291" s="550"/>
      <c r="AZ291" s="549"/>
      <c r="BA291" s="550"/>
      <c r="BB291" s="550"/>
      <c r="BC291" s="550"/>
    </row>
    <row r="292" spans="1:55" s="519" customFormat="1" hidden="1">
      <c r="A292" s="531" t="str">
        <f t="shared" si="32"/>
        <v>CP</v>
      </c>
      <c r="B292" s="50" t="str">
        <f t="shared" si="33"/>
        <v>Div12</v>
      </c>
      <c r="C292" s="50" t="s">
        <v>267</v>
      </c>
      <c r="D292" s="532" t="str">
        <f>'15CustomParticipants'!D$57</f>
        <v>Enter custom role 4</v>
      </c>
      <c r="E292" s="50" t="s">
        <v>53</v>
      </c>
      <c r="F292" s="535" t="str">
        <f t="shared" si="31"/>
        <v>Debra Nesbit</v>
      </c>
      <c r="G292" s="543"/>
      <c r="H292" s="544">
        <f>Table3[[#This Row],[Hrs Rank]]</f>
        <v>0</v>
      </c>
      <c r="I292" s="534">
        <f t="shared" si="28"/>
        <v>0</v>
      </c>
      <c r="J292" s="534">
        <f t="shared" si="29"/>
        <v>0</v>
      </c>
      <c r="K292" s="551"/>
      <c r="L292" s="551"/>
      <c r="M292" s="547" t="s">
        <v>228</v>
      </c>
      <c r="N292" s="547" t="s">
        <v>228</v>
      </c>
      <c r="O292" s="548"/>
      <c r="P292" s="549"/>
      <c r="Q292" s="550"/>
      <c r="R292" s="550"/>
      <c r="S292" s="549"/>
      <c r="T292" s="550"/>
      <c r="U292" s="550"/>
      <c r="V292" s="549"/>
      <c r="W292" s="550"/>
      <c r="X292" s="550"/>
      <c r="Y292" s="549"/>
      <c r="Z292" s="550"/>
      <c r="AA292" s="550"/>
      <c r="AB292" s="549"/>
      <c r="AC292" s="550"/>
      <c r="AD292" s="550"/>
      <c r="AE292" s="549"/>
      <c r="AF292" s="550"/>
      <c r="AG292" s="550"/>
      <c r="AH292" s="549"/>
      <c r="AI292" s="550"/>
      <c r="AJ292" s="550"/>
      <c r="AK292" s="549"/>
      <c r="AL292" s="550"/>
      <c r="AM292" s="550"/>
      <c r="AN292" s="549"/>
      <c r="AO292" s="550"/>
      <c r="AP292" s="550"/>
      <c r="AQ292" s="549"/>
      <c r="AR292" s="550"/>
      <c r="AS292" s="550"/>
      <c r="AT292" s="549"/>
      <c r="AU292" s="550"/>
      <c r="AV292" s="550"/>
      <c r="AW292" s="549"/>
      <c r="AX292" s="550"/>
      <c r="AY292" s="550"/>
      <c r="AZ292" s="549"/>
      <c r="BA292" s="550"/>
      <c r="BB292" s="550"/>
      <c r="BC292" s="550"/>
    </row>
    <row r="293" spans="1:55" s="519" customFormat="1" hidden="1">
      <c r="A293" s="531" t="str">
        <f t="shared" si="32"/>
        <v>CP</v>
      </c>
      <c r="B293" s="50" t="str">
        <f t="shared" si="33"/>
        <v>Div12</v>
      </c>
      <c r="C293" s="50" t="s">
        <v>267</v>
      </c>
      <c r="D293" s="532" t="str">
        <f>'15CustomParticipants'!D$57</f>
        <v>Enter custom role 4</v>
      </c>
      <c r="E293" s="50" t="s">
        <v>52</v>
      </c>
      <c r="F293" s="535" t="str">
        <f t="shared" si="31"/>
        <v>Debra Nesbit</v>
      </c>
      <c r="G293" s="543"/>
      <c r="H293" s="544">
        <f>Table3[[#This Row],[Hrs Rank]]</f>
        <v>0</v>
      </c>
      <c r="I293" s="534">
        <f t="shared" si="28"/>
        <v>0</v>
      </c>
      <c r="J293" s="534">
        <f t="shared" si="29"/>
        <v>0</v>
      </c>
      <c r="K293" s="551"/>
      <c r="L293" s="551"/>
      <c r="M293" s="547" t="s">
        <v>228</v>
      </c>
      <c r="N293" s="547" t="s">
        <v>228</v>
      </c>
      <c r="O293" s="548"/>
      <c r="P293" s="549"/>
      <c r="Q293" s="550"/>
      <c r="R293" s="550"/>
      <c r="S293" s="549"/>
      <c r="T293" s="550"/>
      <c r="U293" s="550"/>
      <c r="V293" s="549"/>
      <c r="W293" s="550"/>
      <c r="X293" s="550"/>
      <c r="Y293" s="549"/>
      <c r="Z293" s="550"/>
      <c r="AA293" s="550"/>
      <c r="AB293" s="549"/>
      <c r="AC293" s="550"/>
      <c r="AD293" s="550"/>
      <c r="AE293" s="549"/>
      <c r="AF293" s="550"/>
      <c r="AG293" s="550"/>
      <c r="AH293" s="549"/>
      <c r="AI293" s="550"/>
      <c r="AJ293" s="550"/>
      <c r="AK293" s="549"/>
      <c r="AL293" s="550"/>
      <c r="AM293" s="550"/>
      <c r="AN293" s="549"/>
      <c r="AO293" s="550"/>
      <c r="AP293" s="550"/>
      <c r="AQ293" s="549"/>
      <c r="AR293" s="550"/>
      <c r="AS293" s="550"/>
      <c r="AT293" s="549"/>
      <c r="AU293" s="550"/>
      <c r="AV293" s="550"/>
      <c r="AW293" s="549"/>
      <c r="AX293" s="550"/>
      <c r="AY293" s="550"/>
      <c r="AZ293" s="549"/>
      <c r="BA293" s="550"/>
      <c r="BB293" s="550"/>
      <c r="BC293" s="550"/>
    </row>
    <row r="294" spans="1:55" s="519" customFormat="1" hidden="1">
      <c r="A294" s="531" t="str">
        <f t="shared" si="32"/>
        <v>CP</v>
      </c>
      <c r="B294" s="50" t="str">
        <f t="shared" si="33"/>
        <v>Div12</v>
      </c>
      <c r="C294" s="50" t="s">
        <v>267</v>
      </c>
      <c r="D294" s="532" t="str">
        <f>'15CustomParticipants'!D$57</f>
        <v>Enter custom role 4</v>
      </c>
      <c r="E294" s="50" t="s">
        <v>52</v>
      </c>
      <c r="F294" s="535" t="str">
        <f t="shared" si="31"/>
        <v>Debra Nesbit</v>
      </c>
      <c r="G294" s="543"/>
      <c r="H294" s="544">
        <f>Table3[[#This Row],[Hrs Rank]]</f>
        <v>0</v>
      </c>
      <c r="I294" s="534">
        <f t="shared" si="28"/>
        <v>0</v>
      </c>
      <c r="J294" s="534">
        <f t="shared" si="29"/>
        <v>0</v>
      </c>
      <c r="K294" s="551"/>
      <c r="L294" s="551"/>
      <c r="M294" s="547" t="s">
        <v>228</v>
      </c>
      <c r="N294" s="547" t="s">
        <v>228</v>
      </c>
      <c r="O294" s="548"/>
      <c r="P294" s="549"/>
      <c r="Q294" s="550"/>
      <c r="R294" s="550"/>
      <c r="S294" s="549"/>
      <c r="T294" s="550"/>
      <c r="U294" s="550"/>
      <c r="V294" s="549"/>
      <c r="W294" s="550"/>
      <c r="X294" s="550"/>
      <c r="Y294" s="549"/>
      <c r="Z294" s="550"/>
      <c r="AA294" s="550"/>
      <c r="AB294" s="549"/>
      <c r="AC294" s="550"/>
      <c r="AD294" s="550"/>
      <c r="AE294" s="549"/>
      <c r="AF294" s="550"/>
      <c r="AG294" s="550"/>
      <c r="AH294" s="549"/>
      <c r="AI294" s="550"/>
      <c r="AJ294" s="550"/>
      <c r="AK294" s="549"/>
      <c r="AL294" s="550"/>
      <c r="AM294" s="550"/>
      <c r="AN294" s="549"/>
      <c r="AO294" s="550"/>
      <c r="AP294" s="550"/>
      <c r="AQ294" s="549"/>
      <c r="AR294" s="550"/>
      <c r="AS294" s="550"/>
      <c r="AT294" s="549"/>
      <c r="AU294" s="550"/>
      <c r="AV294" s="550"/>
      <c r="AW294" s="549"/>
      <c r="AX294" s="550"/>
      <c r="AY294" s="550"/>
      <c r="AZ294" s="549"/>
      <c r="BA294" s="550"/>
      <c r="BB294" s="550"/>
      <c r="BC294" s="550"/>
    </row>
    <row r="295" spans="1:55" s="519" customFormat="1" hidden="1">
      <c r="A295" s="531" t="str">
        <f t="shared" si="32"/>
        <v>CP</v>
      </c>
      <c r="B295" s="50" t="str">
        <f t="shared" si="33"/>
        <v>Div12</v>
      </c>
      <c r="C295" s="50" t="s">
        <v>267</v>
      </c>
      <c r="D295" s="532" t="str">
        <f>'15CustomParticipants'!D$57</f>
        <v>Enter custom role 4</v>
      </c>
      <c r="E295" s="50" t="s">
        <v>52</v>
      </c>
      <c r="F295" s="535" t="str">
        <f t="shared" si="31"/>
        <v>Debra Nesbit</v>
      </c>
      <c r="G295" s="543"/>
      <c r="H295" s="544">
        <f>Table3[[#This Row],[Hrs Rank]]</f>
        <v>0</v>
      </c>
      <c r="I295" s="534">
        <f t="shared" si="28"/>
        <v>0</v>
      </c>
      <c r="J295" s="534">
        <f t="shared" si="29"/>
        <v>0</v>
      </c>
      <c r="K295" s="551"/>
      <c r="L295" s="551"/>
      <c r="M295" s="547" t="s">
        <v>228</v>
      </c>
      <c r="N295" s="547" t="s">
        <v>228</v>
      </c>
      <c r="O295" s="548"/>
      <c r="P295" s="549"/>
      <c r="Q295" s="550"/>
      <c r="R295" s="550"/>
      <c r="S295" s="549"/>
      <c r="T295" s="550"/>
      <c r="U295" s="550"/>
      <c r="V295" s="549"/>
      <c r="W295" s="550"/>
      <c r="X295" s="550"/>
      <c r="Y295" s="549"/>
      <c r="Z295" s="550"/>
      <c r="AA295" s="550"/>
      <c r="AB295" s="549"/>
      <c r="AC295" s="550"/>
      <c r="AD295" s="550"/>
      <c r="AE295" s="549"/>
      <c r="AF295" s="550"/>
      <c r="AG295" s="550"/>
      <c r="AH295" s="549"/>
      <c r="AI295" s="550"/>
      <c r="AJ295" s="550"/>
      <c r="AK295" s="549"/>
      <c r="AL295" s="550"/>
      <c r="AM295" s="550"/>
      <c r="AN295" s="549"/>
      <c r="AO295" s="550"/>
      <c r="AP295" s="550"/>
      <c r="AQ295" s="549"/>
      <c r="AR295" s="550"/>
      <c r="AS295" s="550"/>
      <c r="AT295" s="549"/>
      <c r="AU295" s="550"/>
      <c r="AV295" s="550"/>
      <c r="AW295" s="549"/>
      <c r="AX295" s="550"/>
      <c r="AY295" s="550"/>
      <c r="AZ295" s="549"/>
      <c r="BA295" s="550"/>
      <c r="BB295" s="550"/>
      <c r="BC295" s="550"/>
    </row>
    <row r="296" spans="1:55" s="519" customFormat="1" hidden="1">
      <c r="A296" s="531" t="str">
        <f t="shared" si="32"/>
        <v>CP</v>
      </c>
      <c r="B296" s="50" t="str">
        <f t="shared" si="33"/>
        <v>Div12</v>
      </c>
      <c r="C296" s="50" t="s">
        <v>267</v>
      </c>
      <c r="D296" s="532" t="str">
        <f>'15CustomParticipants'!D$57</f>
        <v>Enter custom role 4</v>
      </c>
      <c r="E296" s="50" t="s">
        <v>52</v>
      </c>
      <c r="F296" s="535" t="str">
        <f t="shared" si="31"/>
        <v>Debra Nesbit</v>
      </c>
      <c r="G296" s="543"/>
      <c r="H296" s="544">
        <f>Table3[[#This Row],[Hrs Rank]]</f>
        <v>0</v>
      </c>
      <c r="I296" s="534">
        <f t="shared" si="28"/>
        <v>0</v>
      </c>
      <c r="J296" s="534">
        <f t="shared" si="29"/>
        <v>0</v>
      </c>
      <c r="K296" s="551"/>
      <c r="L296" s="551"/>
      <c r="M296" s="547" t="s">
        <v>228</v>
      </c>
      <c r="N296" s="547" t="s">
        <v>228</v>
      </c>
      <c r="O296" s="548"/>
      <c r="P296" s="549"/>
      <c r="Q296" s="550"/>
      <c r="R296" s="550"/>
      <c r="S296" s="549"/>
      <c r="T296" s="550"/>
      <c r="U296" s="550"/>
      <c r="V296" s="549"/>
      <c r="W296" s="550"/>
      <c r="X296" s="550"/>
      <c r="Y296" s="549"/>
      <c r="Z296" s="550"/>
      <c r="AA296" s="550"/>
      <c r="AB296" s="549"/>
      <c r="AC296" s="550"/>
      <c r="AD296" s="550"/>
      <c r="AE296" s="549"/>
      <c r="AF296" s="550"/>
      <c r="AG296" s="550"/>
      <c r="AH296" s="549"/>
      <c r="AI296" s="550"/>
      <c r="AJ296" s="550"/>
      <c r="AK296" s="549"/>
      <c r="AL296" s="550"/>
      <c r="AM296" s="550"/>
      <c r="AN296" s="549"/>
      <c r="AO296" s="550"/>
      <c r="AP296" s="550"/>
      <c r="AQ296" s="549"/>
      <c r="AR296" s="550"/>
      <c r="AS296" s="550"/>
      <c r="AT296" s="549"/>
      <c r="AU296" s="550"/>
      <c r="AV296" s="550"/>
      <c r="AW296" s="549"/>
      <c r="AX296" s="550"/>
      <c r="AY296" s="550"/>
      <c r="AZ296" s="549"/>
      <c r="BA296" s="550"/>
      <c r="BB296" s="550"/>
      <c r="BC296" s="550"/>
    </row>
    <row r="297" spans="1:55">
      <c r="A297" s="554"/>
      <c r="B297" s="552"/>
      <c r="C297" s="552"/>
      <c r="D297" s="553"/>
      <c r="E297" s="552"/>
      <c r="F297" s="552"/>
      <c r="G297" s="554"/>
      <c r="H297" s="554"/>
      <c r="I297" s="554"/>
      <c r="J297" s="554"/>
      <c r="K297" s="552"/>
      <c r="L297" s="552"/>
      <c r="M297" s="552"/>
      <c r="N297" s="552"/>
      <c r="O297" s="555"/>
      <c r="P297" s="555"/>
      <c r="Q297" s="555"/>
      <c r="R297" s="555"/>
      <c r="S297" s="555"/>
      <c r="T297" s="555"/>
      <c r="U297" s="555"/>
      <c r="V297" s="555"/>
      <c r="W297" s="555"/>
      <c r="X297" s="555"/>
      <c r="Y297" s="555"/>
      <c r="Z297" s="555"/>
      <c r="AA297" s="555"/>
      <c r="AB297" s="555"/>
      <c r="AC297" s="555"/>
      <c r="AD297" s="555"/>
      <c r="AE297" s="555"/>
      <c r="AF297" s="555"/>
      <c r="AG297" s="555"/>
      <c r="AH297" s="555"/>
      <c r="AI297" s="555"/>
      <c r="AJ297" s="555"/>
      <c r="AK297" s="556"/>
      <c r="AL297" s="555"/>
      <c r="AM297" s="555"/>
      <c r="AN297" s="555"/>
      <c r="AO297" s="555"/>
      <c r="AP297" s="555"/>
      <c r="AQ297" s="555"/>
      <c r="AR297" s="555"/>
      <c r="AS297" s="555"/>
      <c r="AT297" s="555"/>
      <c r="AU297" s="555"/>
      <c r="AV297" s="555"/>
      <c r="AW297" s="556"/>
      <c r="AX297" s="555"/>
      <c r="AY297" s="555"/>
      <c r="AZ297" s="555"/>
      <c r="BA297" s="555"/>
      <c r="BB297" s="555"/>
      <c r="BC297" s="555"/>
    </row>
    <row r="298" spans="1:55">
      <c r="D298" s="525"/>
    </row>
    <row r="299" spans="1:55">
      <c r="D299" s="525"/>
    </row>
    <row r="300" spans="1:55">
      <c r="D300" s="525"/>
    </row>
    <row r="301" spans="1:55">
      <c r="D301" s="525"/>
    </row>
    <row r="302" spans="1:55">
      <c r="D302" s="525"/>
    </row>
    <row r="303" spans="1:55">
      <c r="D303" s="525"/>
    </row>
    <row r="304" spans="1:55">
      <c r="D304" s="525"/>
    </row>
    <row r="305" spans="4:4">
      <c r="D305" s="525"/>
    </row>
    <row r="306" spans="4:4">
      <c r="D306" s="525"/>
    </row>
    <row r="307" spans="4:4">
      <c r="D307" s="525"/>
    </row>
    <row r="308" spans="4:4">
      <c r="D308" s="525"/>
    </row>
    <row r="309" spans="4:4">
      <c r="D309" s="525"/>
    </row>
    <row r="310" spans="4:4">
      <c r="D310" s="525"/>
    </row>
    <row r="311" spans="4:4">
      <c r="D311" s="525"/>
    </row>
    <row r="312" spans="4:4">
      <c r="D312" s="525"/>
    </row>
    <row r="313" spans="4:4">
      <c r="D313" s="525"/>
    </row>
    <row r="314" spans="4:4">
      <c r="D314" s="525"/>
    </row>
    <row r="315" spans="4:4">
      <c r="D315" s="525"/>
    </row>
    <row r="316" spans="4:4">
      <c r="D316" s="525"/>
    </row>
    <row r="317" spans="4:4">
      <c r="D317" s="525"/>
    </row>
    <row r="318" spans="4:4">
      <c r="D318" s="525"/>
    </row>
    <row r="319" spans="4:4">
      <c r="D319" s="525"/>
    </row>
    <row r="320" spans="4:4">
      <c r="D320" s="525"/>
    </row>
    <row r="321" spans="4:4">
      <c r="D321" s="525"/>
    </row>
    <row r="322" spans="4:4">
      <c r="D322" s="525"/>
    </row>
    <row r="323" spans="4:4">
      <c r="D323" s="525"/>
    </row>
    <row r="324" spans="4:4">
      <c r="D324" s="525"/>
    </row>
    <row r="325" spans="4:4">
      <c r="D325" s="525"/>
    </row>
    <row r="326" spans="4:4">
      <c r="D326" s="525"/>
    </row>
    <row r="327" spans="4:4">
      <c r="D327" s="525"/>
    </row>
    <row r="328" spans="4:4">
      <c r="D328" s="525"/>
    </row>
    <row r="329" spans="4:4">
      <c r="D329" s="525"/>
    </row>
    <row r="330" spans="4:4">
      <c r="D330" s="525"/>
    </row>
    <row r="331" spans="4:4">
      <c r="D331" s="525"/>
    </row>
    <row r="332" spans="4:4">
      <c r="D332" s="525"/>
    </row>
    <row r="333" spans="4:4">
      <c r="D333" s="525"/>
    </row>
    <row r="334" spans="4:4">
      <c r="D334" s="525"/>
    </row>
    <row r="335" spans="4:4">
      <c r="D335" s="525"/>
    </row>
    <row r="336" spans="4:4">
      <c r="D336" s="525"/>
    </row>
    <row r="337" spans="4:4">
      <c r="D337" s="525"/>
    </row>
    <row r="338" spans="4:4">
      <c r="D338" s="525"/>
    </row>
    <row r="339" spans="4:4">
      <c r="D339" s="525"/>
    </row>
    <row r="340" spans="4:4">
      <c r="D340" s="525"/>
    </row>
    <row r="341" spans="4:4">
      <c r="D341" s="525"/>
    </row>
    <row r="342" spans="4:4">
      <c r="D342" s="525"/>
    </row>
    <row r="343" spans="4:4">
      <c r="D343" s="525"/>
    </row>
    <row r="344" spans="4:4">
      <c r="D344" s="525"/>
    </row>
    <row r="345" spans="4:4">
      <c r="D345" s="525"/>
    </row>
    <row r="346" spans="4:4">
      <c r="D346" s="525"/>
    </row>
    <row r="347" spans="4:4">
      <c r="D347" s="525"/>
    </row>
    <row r="348" spans="4:4">
      <c r="D348" s="525"/>
    </row>
  </sheetData>
  <mergeCells count="1">
    <mergeCell ref="B1:E1"/>
  </mergeCells>
  <conditionalFormatting sqref="G3:G296">
    <cfRule type="iconSet" priority="4">
      <iconSet iconSet="5Quarters">
        <cfvo type="percent" val="0"/>
        <cfvo type="num" val="5"/>
        <cfvo type="num" val="7"/>
        <cfvo type="num" val="8"/>
        <cfvo type="num" val="9"/>
      </iconSet>
    </cfRule>
  </conditionalFormatting>
  <conditionalFormatting sqref="I3:J264">
    <cfRule type="cellIs" dxfId="2537" priority="2" operator="greaterThan">
      <formula>100</formula>
    </cfRule>
  </conditionalFormatting>
  <conditionalFormatting sqref="K3:N296">
    <cfRule type="expression" dxfId="2536" priority="1">
      <formula>IF(OR($I3&gt;100,$J3&gt;100),TRUE)</formula>
    </cfRule>
  </conditionalFormatting>
  <dataValidations count="3">
    <dataValidation type="list" allowBlank="1" showInputMessage="1" showErrorMessage="1" sqref="M3:N296">
      <formula1>R.DDL_YNNA</formula1>
    </dataValidation>
    <dataValidation type="list" allowBlank="1" showInputMessage="1" showErrorMessage="1" sqref="C3:C296">
      <formula1>R.DDL_WorkGroup</formula1>
    </dataValidation>
    <dataValidation type="list" allowBlank="1" showInputMessage="1" showErrorMessage="1" sqref="E3:E296">
      <formula1>R.DDL_ProjectPhase</formula1>
    </dataValidation>
  </dataValidations>
  <pageMargins left="0.7" right="0.7" top="0.75" bottom="0.75" header="0.3" footer="0.3"/>
  <ignoredErrors>
    <ignoredError sqref="F3:F6 F8:F10 F11:F12 F13:F20 F21:F24 F25:F56 F57:F72 F73:F80 F81:F104 F105:F112 F113:F120 F121:F128 F129:F136 F137:F144 F145:F152 F153:F160 F161:F168 F169:F176 F177:F184 F185:F192 F193:F200 F201:F208 F209:F216 F217:F232 F233:F240 F241:F248 F249:F264" calculatedColumn="1"/>
  </ignoredErrors>
  <drawing r:id="rId1"/>
  <tableParts count="1">
    <tablePart r:id="rId2"/>
  </tableParts>
</worksheet>
</file>

<file path=xl/worksheets/sheet11.xml><?xml version="1.0" encoding="utf-8"?>
<worksheet xmlns="http://schemas.openxmlformats.org/spreadsheetml/2006/main" xmlns:r="http://schemas.openxmlformats.org/officeDocument/2006/relationships">
  <sheetPr codeName="Sheet13"/>
  <dimension ref="A1:BQ64"/>
  <sheetViews>
    <sheetView showGridLines="0" zoomScaleNormal="100" workbookViewId="0">
      <selection activeCell="P45" sqref="P45"/>
    </sheetView>
  </sheetViews>
  <sheetFormatPr defaultColWidth="9" defaultRowHeight="20.25" outlineLevelRow="1" outlineLevelCol="1"/>
  <cols>
    <col min="1" max="1" width="13.75" style="330" customWidth="1"/>
    <col min="2" max="2" width="2.625" customWidth="1"/>
    <col min="3" max="3" width="2.625" style="44" customWidth="1"/>
    <col min="4" max="4" width="40.5" style="70" customWidth="1"/>
    <col min="5" max="5" width="15.75" style="70" customWidth="1"/>
    <col min="6" max="15" width="1.625" style="70" customWidth="1"/>
    <col min="16" max="16" width="15.75" style="70" customWidth="1"/>
    <col min="17" max="17" width="2.625" style="70" customWidth="1"/>
    <col min="18" max="18" width="2.625" style="64" customWidth="1"/>
    <col min="19" max="19" width="9" style="113" hidden="1" customWidth="1" outlineLevel="1"/>
    <col min="20" max="20" width="14.875" style="64" hidden="1" customWidth="1" outlineLevel="1"/>
    <col min="21" max="21" width="11.5" style="64" hidden="1" customWidth="1" outlineLevel="1"/>
    <col min="22" max="22" width="26.5" style="64" customWidth="1" collapsed="1"/>
    <col min="23" max="23" width="16.5" style="64" customWidth="1"/>
    <col min="24" max="24" width="18" style="64" customWidth="1"/>
    <col min="25" max="33" width="31.125" style="64" customWidth="1"/>
    <col min="34" max="69" width="9" style="64"/>
    <col min="70" max="16384" width="9" style="70"/>
  </cols>
  <sheetData>
    <row r="1" spans="1:69" s="64" customFormat="1" ht="20.25" customHeight="1">
      <c r="A1" s="350" t="s">
        <v>104</v>
      </c>
      <c r="B1" s="334"/>
      <c r="C1" s="334"/>
      <c r="D1" s="334"/>
      <c r="E1" s="334"/>
      <c r="F1" s="334"/>
      <c r="G1" s="334"/>
      <c r="H1" s="334"/>
      <c r="I1" s="334"/>
      <c r="J1" s="334"/>
      <c r="K1" s="334"/>
      <c r="L1" s="334"/>
      <c r="M1" s="334"/>
      <c r="N1" s="334"/>
      <c r="O1" s="334"/>
      <c r="P1" s="334"/>
      <c r="Q1" s="334"/>
      <c r="R1" s="334"/>
      <c r="S1" s="113"/>
    </row>
    <row r="2" spans="1:69" s="6" customFormat="1" ht="30" customHeight="1" thickBot="1">
      <c r="A2" s="350" t="s">
        <v>107</v>
      </c>
      <c r="B2" s="334"/>
      <c r="C2" s="332">
        <v>7</v>
      </c>
      <c r="D2" s="331" t="s">
        <v>61</v>
      </c>
      <c r="E2" s="713" t="str">
        <f>R.1MediaAndLongName</f>
        <v>CP Division 12 Updates</v>
      </c>
      <c r="F2" s="713"/>
      <c r="G2" s="713"/>
      <c r="H2" s="713"/>
      <c r="I2" s="713"/>
      <c r="J2" s="713"/>
      <c r="K2" s="713"/>
      <c r="L2" s="713"/>
      <c r="M2" s="713"/>
      <c r="N2" s="713"/>
      <c r="O2" s="713"/>
      <c r="P2" s="713"/>
      <c r="Q2" s="154"/>
      <c r="R2" s="334"/>
      <c r="S2" s="66"/>
      <c r="T2" s="66"/>
      <c r="U2" s="66"/>
      <c r="V2" s="120" t="s">
        <v>0</v>
      </c>
      <c r="W2" s="64"/>
      <c r="X2" s="64"/>
      <c r="Y2" s="64"/>
      <c r="Z2" s="64"/>
      <c r="AA2" s="64"/>
      <c r="AB2" s="64"/>
      <c r="AC2" s="64"/>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row>
    <row r="3" spans="1:69" s="6" customFormat="1" ht="20.25" customHeight="1" thickTop="1">
      <c r="A3" s="327"/>
      <c r="B3" s="334"/>
      <c r="C3" s="155"/>
      <c r="D3" s="96"/>
      <c r="E3" s="96"/>
      <c r="F3" s="82"/>
      <c r="G3" s="164"/>
      <c r="H3" s="164"/>
      <c r="I3" s="164"/>
      <c r="J3" s="97"/>
      <c r="K3" s="13"/>
      <c r="L3" s="13"/>
      <c r="M3" s="699" t="s">
        <v>57</v>
      </c>
      <c r="N3" s="699"/>
      <c r="O3" s="699"/>
      <c r="P3" s="699"/>
      <c r="Q3" s="156"/>
      <c r="R3" s="334"/>
      <c r="S3" s="119" t="str">
        <f>"R."&amp;$C$2&amp;"StaffCount"</f>
        <v>R.7StaffCount</v>
      </c>
      <c r="T3" s="119" t="str">
        <f>"R."&amp;$C$2&amp;"LowHrs"</f>
        <v>R.7LowHrs</v>
      </c>
      <c r="U3" s="349" t="str">
        <f>"R."&amp;$C$2&amp;"HighHrs"</f>
        <v>R.7HighHrs</v>
      </c>
      <c r="V3" s="120"/>
      <c r="W3" s="64"/>
      <c r="X3" s="64"/>
      <c r="Y3" s="64"/>
      <c r="Z3" s="64"/>
      <c r="AA3" s="64"/>
      <c r="AB3" s="64"/>
      <c r="AC3" s="64"/>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row>
    <row r="4" spans="1:69" s="6" customFormat="1" ht="20.25" customHeight="1">
      <c r="A4" s="327"/>
      <c r="B4" s="334"/>
      <c r="C4" s="155"/>
      <c r="D4" s="494" t="s">
        <v>55</v>
      </c>
      <c r="E4" s="81">
        <f>S4</f>
        <v>3</v>
      </c>
      <c r="F4" s="700" t="s">
        <v>54</v>
      </c>
      <c r="G4" s="700"/>
      <c r="H4" s="700"/>
      <c r="I4" s="700"/>
      <c r="J4" s="700"/>
      <c r="K4" s="700"/>
      <c r="L4" s="700"/>
      <c r="M4" s="701" t="str">
        <f>S5</f>
        <v>3-24</v>
      </c>
      <c r="N4" s="701"/>
      <c r="O4" s="701"/>
      <c r="P4" s="701"/>
      <c r="Q4" s="156"/>
      <c r="R4" s="334"/>
      <c r="S4" s="354">
        <f>COUNTIFS(S13:S55,"&gt;0")</f>
        <v>3</v>
      </c>
      <c r="T4" s="355">
        <f>SUM(T13:T55)</f>
        <v>3</v>
      </c>
      <c r="U4" s="355">
        <f>SUM(U13:U55)</f>
        <v>24</v>
      </c>
      <c r="V4" s="120"/>
      <c r="W4" s="64"/>
      <c r="X4" s="64"/>
      <c r="Y4" s="64"/>
      <c r="Z4" s="64"/>
      <c r="AA4" s="64"/>
      <c r="AB4" s="64"/>
      <c r="AC4" s="64"/>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row>
    <row r="5" spans="1:69" s="6" customFormat="1" ht="20.25" customHeight="1">
      <c r="A5" s="327"/>
      <c r="B5" s="334"/>
      <c r="C5" s="155"/>
      <c r="D5" s="494" t="s">
        <v>56</v>
      </c>
      <c r="E5" s="98">
        <f>R.AvgHrDEQCost</f>
        <v>58</v>
      </c>
      <c r="F5" s="700" t="s">
        <v>58</v>
      </c>
      <c r="G5" s="700"/>
      <c r="H5" s="700"/>
      <c r="I5" s="700"/>
      <c r="J5" s="700"/>
      <c r="K5" s="700"/>
      <c r="L5" s="700"/>
      <c r="M5" s="702" t="str">
        <f>S6</f>
        <v>$174-1,392</v>
      </c>
      <c r="N5" s="702"/>
      <c r="O5" s="702"/>
      <c r="P5" s="702"/>
      <c r="Q5" s="156"/>
      <c r="R5" s="334"/>
      <c r="S5" s="122" t="str">
        <f>IF(R.7StaffCount=0,"0",IF(R.7LowHrs=0,"0-"&amp;TEXT(R.7HighHrs,"#,###"),TEXT(R.7LowHrs,"#,###")&amp;"-"&amp;TEXT(R.7HighHrs,"#,###")))</f>
        <v>3-24</v>
      </c>
      <c r="T5" s="119" t="str">
        <f>"R."&amp;$C$2&amp;"LowDollars"</f>
        <v>R.7LowDollars</v>
      </c>
      <c r="U5" s="349" t="str">
        <f>"R."&amp;$C$2&amp;"HighDollars"</f>
        <v>R.7HighDollars</v>
      </c>
      <c r="V5" s="120"/>
      <c r="W5" s="64"/>
      <c r="X5" s="64"/>
      <c r="Y5" s="64"/>
      <c r="Z5" s="64"/>
      <c r="AA5" s="64"/>
      <c r="AB5" s="64"/>
      <c r="AC5" s="64"/>
      <c r="AD5" s="66"/>
      <c r="AE5" s="66"/>
      <c r="AF5" s="66"/>
      <c r="AG5" s="66"/>
      <c r="AH5" s="66"/>
      <c r="AI5" s="66"/>
      <c r="AJ5" s="66"/>
      <c r="AK5" s="66"/>
      <c r="AL5" s="66"/>
      <c r="AM5" s="66"/>
      <c r="AN5" s="66"/>
      <c r="AO5" s="66"/>
      <c r="AP5" s="66"/>
      <c r="AQ5" s="66"/>
      <c r="AR5" s="66"/>
      <c r="AS5" s="66"/>
      <c r="AT5" s="66"/>
      <c r="AU5" s="66"/>
      <c r="AV5" s="66"/>
      <c r="AW5" s="66"/>
      <c r="AX5" s="66"/>
      <c r="AY5" s="66"/>
      <c r="AZ5" s="66"/>
      <c r="BA5" s="66"/>
      <c r="BB5" s="66"/>
      <c r="BC5" s="66"/>
      <c r="BD5" s="66"/>
      <c r="BE5" s="66"/>
      <c r="BF5" s="66"/>
      <c r="BG5" s="66"/>
      <c r="BH5" s="66"/>
      <c r="BI5" s="66"/>
      <c r="BJ5" s="66"/>
      <c r="BK5" s="66"/>
      <c r="BL5" s="66"/>
      <c r="BM5" s="66"/>
      <c r="BN5" s="66"/>
      <c r="BO5" s="66"/>
      <c r="BP5" s="66"/>
      <c r="BQ5" s="66"/>
    </row>
    <row r="6" spans="1:69" s="6" customFormat="1" ht="8.25" customHeight="1">
      <c r="A6" s="327"/>
      <c r="B6" s="334"/>
      <c r="C6" s="155"/>
      <c r="D6" s="505" t="s">
        <v>0</v>
      </c>
      <c r="E6" s="100"/>
      <c r="F6" s="99"/>
      <c r="G6" s="99"/>
      <c r="H6" s="99"/>
      <c r="I6" s="99"/>
      <c r="J6" s="99"/>
      <c r="K6" s="99"/>
      <c r="L6" s="99"/>
      <c r="M6" s="99"/>
      <c r="N6" s="99"/>
      <c r="O6" s="99"/>
      <c r="P6" s="99"/>
      <c r="Q6" s="156"/>
      <c r="R6" s="334"/>
      <c r="S6" s="122" t="str">
        <f>IF(R.7StaffCount=0,"$0",IF(R.7LowDollars=0,"$0-"&amp;TEXT(R.7HighDollars,"#,###"),TEXT(R.7LowDollars,"$#,###")&amp;"-"&amp;TEXT(R.7HighDollars,"#,###")))</f>
        <v>$174-1,392</v>
      </c>
      <c r="T6" s="124">
        <f>T4*E5</f>
        <v>174</v>
      </c>
      <c r="U6" s="124">
        <f>U4*E5</f>
        <v>1392</v>
      </c>
      <c r="V6" s="120"/>
      <c r="W6" s="64"/>
      <c r="X6" s="64"/>
      <c r="Y6" s="64"/>
      <c r="Z6" s="64"/>
      <c r="AA6" s="64"/>
      <c r="AB6" s="64"/>
      <c r="AC6" s="64"/>
      <c r="AD6" s="66"/>
      <c r="AE6" s="66"/>
      <c r="AF6" s="66"/>
      <c r="AG6" s="66"/>
      <c r="AH6" s="66"/>
      <c r="AI6" s="66"/>
      <c r="AJ6" s="66"/>
      <c r="AK6" s="66"/>
      <c r="AL6" s="66"/>
      <c r="AM6" s="66"/>
      <c r="AN6" s="66"/>
      <c r="AO6" s="66"/>
      <c r="AP6" s="66"/>
      <c r="AQ6" s="66"/>
      <c r="AR6" s="66"/>
      <c r="AS6" s="66"/>
      <c r="AT6" s="66"/>
      <c r="AU6" s="66"/>
      <c r="AV6" s="66"/>
      <c r="AW6" s="66"/>
      <c r="AX6" s="66"/>
      <c r="AY6" s="66"/>
      <c r="AZ6" s="66"/>
      <c r="BA6" s="66"/>
      <c r="BB6" s="66"/>
      <c r="BC6" s="66"/>
      <c r="BD6" s="66"/>
      <c r="BE6" s="66"/>
      <c r="BF6" s="66"/>
      <c r="BG6" s="66"/>
      <c r="BH6" s="66"/>
      <c r="BI6" s="66"/>
      <c r="BJ6" s="66"/>
      <c r="BK6" s="66"/>
      <c r="BL6" s="66"/>
      <c r="BM6" s="66"/>
      <c r="BN6" s="66"/>
      <c r="BO6" s="66"/>
      <c r="BP6" s="66"/>
      <c r="BQ6" s="66"/>
    </row>
    <row r="7" spans="1:69" s="6" customFormat="1" ht="96" customHeight="1">
      <c r="A7" s="316"/>
      <c r="B7" s="334"/>
      <c r="C7" s="155"/>
      <c r="D7" s="730" t="s">
        <v>251</v>
      </c>
      <c r="E7" s="731"/>
      <c r="F7" s="731"/>
      <c r="G7" s="731"/>
      <c r="H7" s="731"/>
      <c r="I7" s="731"/>
      <c r="J7" s="731"/>
      <c r="K7" s="731"/>
      <c r="L7" s="731"/>
      <c r="M7" s="731"/>
      <c r="N7" s="731"/>
      <c r="O7" s="731"/>
      <c r="P7" s="732"/>
      <c r="Q7" s="156"/>
      <c r="R7" s="334"/>
      <c r="S7" s="496">
        <f>AVERAGEIF(S14:S56,"&gt;0")</f>
        <v>1</v>
      </c>
      <c r="T7" s="493"/>
      <c r="U7" s="493"/>
      <c r="V7" s="120"/>
      <c r="W7" s="436"/>
      <c r="X7" s="436"/>
      <c r="Y7" s="436"/>
      <c r="Z7" s="436"/>
      <c r="AA7" s="436"/>
      <c r="AB7" s="436"/>
      <c r="AC7" s="436"/>
      <c r="AD7" s="66"/>
      <c r="AE7" s="66"/>
      <c r="AF7" s="66"/>
    </row>
    <row r="8" spans="1:69" s="69" customFormat="1" ht="14.25" customHeight="1">
      <c r="A8" s="328"/>
      <c r="B8" s="334"/>
      <c r="C8" s="404"/>
      <c r="D8" s="405"/>
      <c r="E8" s="405"/>
      <c r="F8" s="405"/>
      <c r="G8" s="405"/>
      <c r="H8" s="405"/>
      <c r="I8" s="405"/>
      <c r="J8" s="405"/>
      <c r="K8" s="405"/>
      <c r="L8" s="405"/>
      <c r="M8" s="405"/>
      <c r="N8" s="405"/>
      <c r="O8" s="405"/>
      <c r="P8" s="405"/>
      <c r="Q8" s="406"/>
      <c r="R8" s="334"/>
      <c r="S8"/>
      <c r="T8"/>
      <c r="U8"/>
      <c r="V8" s="126"/>
      <c r="W8" s="126"/>
      <c r="X8" s="126"/>
      <c r="Y8" s="126"/>
      <c r="Z8" s="126"/>
      <c r="AA8" s="126"/>
      <c r="AB8" s="126"/>
      <c r="AC8" s="126"/>
      <c r="AD8" s="125"/>
      <c r="AE8" s="125"/>
      <c r="AF8" s="125"/>
      <c r="AG8" s="125"/>
      <c r="AH8" s="125"/>
      <c r="AI8" s="125"/>
      <c r="AJ8" s="125"/>
      <c r="AK8" s="125"/>
      <c r="AL8" s="125"/>
      <c r="AM8" s="125"/>
      <c r="AN8" s="125"/>
      <c r="AO8" s="125"/>
      <c r="AP8" s="125"/>
      <c r="AQ8" s="125"/>
      <c r="AR8" s="125"/>
      <c r="AS8" s="125"/>
      <c r="AT8" s="125"/>
      <c r="AU8" s="125"/>
      <c r="AV8" s="125"/>
      <c r="AW8" s="125"/>
      <c r="AX8" s="125"/>
      <c r="AY8" s="125"/>
      <c r="AZ8" s="125"/>
      <c r="BA8" s="125"/>
      <c r="BB8" s="125"/>
      <c r="BC8" s="125"/>
      <c r="BD8" s="125"/>
      <c r="BE8" s="125"/>
      <c r="BF8" s="125"/>
      <c r="BG8" s="125"/>
      <c r="BH8" s="125"/>
      <c r="BI8" s="125"/>
      <c r="BJ8" s="125"/>
      <c r="BK8" s="125"/>
      <c r="BL8" s="125"/>
      <c r="BM8" s="125"/>
      <c r="BN8" s="125"/>
      <c r="BO8" s="125"/>
      <c r="BP8" s="125"/>
      <c r="BQ8" s="125"/>
    </row>
    <row r="9" spans="1:69" s="33" customFormat="1" ht="30" customHeight="1">
      <c r="A9" s="350" t="s">
        <v>107</v>
      </c>
      <c r="B9" s="334"/>
      <c r="C9" s="483" t="s">
        <v>0</v>
      </c>
      <c r="D9" s="381" t="s">
        <v>147</v>
      </c>
      <c r="E9" s="382"/>
      <c r="F9" s="382"/>
      <c r="G9" s="382"/>
      <c r="H9" s="382"/>
      <c r="I9" s="382"/>
      <c r="J9" s="382"/>
      <c r="K9" s="382"/>
      <c r="L9" s="382"/>
      <c r="M9" s="382"/>
      <c r="N9" s="382"/>
      <c r="O9" s="382"/>
      <c r="P9" s="382"/>
      <c r="Q9" s="384"/>
      <c r="R9" s="334"/>
      <c r="S9"/>
      <c r="T9"/>
      <c r="U9"/>
      <c r="V9" s="129"/>
      <c r="W9" s="129"/>
      <c r="X9" s="129"/>
      <c r="Y9" s="129"/>
      <c r="Z9" s="129"/>
      <c r="AA9" s="129"/>
      <c r="AB9" s="129"/>
      <c r="AC9" s="129"/>
      <c r="AD9" s="127"/>
      <c r="AE9" s="127"/>
      <c r="AF9" s="127"/>
      <c r="AG9" s="127"/>
      <c r="AH9" s="127"/>
      <c r="AI9" s="127"/>
      <c r="AJ9" s="127"/>
      <c r="AK9" s="127"/>
      <c r="AL9" s="127"/>
      <c r="AM9" s="127"/>
      <c r="AN9" s="127"/>
      <c r="AO9" s="127"/>
      <c r="AP9" s="127"/>
      <c r="AQ9" s="127"/>
      <c r="AR9" s="127"/>
      <c r="AS9" s="127"/>
      <c r="AT9" s="127"/>
      <c r="AU9" s="127"/>
      <c r="AV9" s="127"/>
      <c r="AW9" s="127"/>
      <c r="AX9" s="127"/>
      <c r="AY9" s="127"/>
      <c r="AZ9" s="127"/>
      <c r="BA9" s="127"/>
      <c r="BB9" s="127"/>
      <c r="BC9" s="127"/>
      <c r="BD9" s="127"/>
      <c r="BE9" s="127"/>
      <c r="BF9" s="127"/>
      <c r="BG9" s="127"/>
      <c r="BH9" s="127"/>
      <c r="BI9" s="127"/>
      <c r="BJ9" s="127"/>
      <c r="BK9" s="127"/>
      <c r="BL9" s="127"/>
      <c r="BM9" s="127"/>
      <c r="BN9" s="127"/>
      <c r="BO9" s="127"/>
      <c r="BP9" s="127"/>
      <c r="BQ9" s="127"/>
    </row>
    <row r="10" spans="1:69" s="33" customFormat="1" ht="14.25" customHeight="1">
      <c r="A10" s="327"/>
      <c r="B10" s="334"/>
      <c r="C10" s="232"/>
      <c r="D10" s="443" t="s">
        <v>53</v>
      </c>
      <c r="E10" s="94"/>
      <c r="F10" s="94"/>
      <c r="G10" s="94"/>
      <c r="H10" s="94"/>
      <c r="I10" s="94"/>
      <c r="J10" s="94"/>
      <c r="K10" s="94"/>
      <c r="L10" s="94"/>
      <c r="M10" s="94"/>
      <c r="N10" s="94"/>
      <c r="O10" s="94"/>
      <c r="P10" s="94"/>
      <c r="Q10" s="137"/>
      <c r="R10" s="334"/>
      <c r="S10"/>
      <c r="T10"/>
      <c r="U10"/>
      <c r="V10" s="230"/>
      <c r="W10" s="230"/>
      <c r="X10" s="230"/>
      <c r="Y10" s="230"/>
      <c r="Z10" s="230"/>
      <c r="AA10" s="230"/>
      <c r="AB10" s="230"/>
      <c r="AC10" s="230"/>
      <c r="AD10" s="127"/>
      <c r="AE10" s="127"/>
      <c r="AF10" s="127"/>
      <c r="AG10" s="127"/>
      <c r="AH10" s="127"/>
      <c r="AI10" s="127"/>
      <c r="AJ10" s="127"/>
      <c r="AK10" s="127"/>
      <c r="AL10" s="127"/>
      <c r="AM10" s="127"/>
      <c r="AN10" s="127"/>
      <c r="AO10" s="127"/>
      <c r="AP10" s="127"/>
      <c r="AQ10" s="127"/>
      <c r="AR10" s="127"/>
      <c r="AS10" s="127"/>
      <c r="AT10" s="127"/>
      <c r="AU10" s="127"/>
      <c r="AV10" s="127"/>
      <c r="AW10" s="127"/>
      <c r="AX10" s="127"/>
      <c r="AY10" s="127"/>
      <c r="AZ10" s="127"/>
      <c r="BA10" s="127"/>
      <c r="BB10" s="127"/>
      <c r="BC10" s="127"/>
      <c r="BD10" s="127"/>
      <c r="BE10" s="127"/>
      <c r="BF10" s="127"/>
      <c r="BG10" s="127"/>
      <c r="BH10" s="127"/>
      <c r="BI10" s="127"/>
      <c r="BJ10" s="127"/>
      <c r="BK10" s="127"/>
      <c r="BL10" s="127"/>
      <c r="BM10" s="127"/>
      <c r="BN10" s="127"/>
      <c r="BO10" s="127"/>
      <c r="BP10" s="127"/>
      <c r="BQ10" s="127"/>
    </row>
    <row r="11" spans="1:69" s="28" customFormat="1" ht="15.75" customHeight="1">
      <c r="A11" s="328"/>
      <c r="B11" s="334"/>
      <c r="C11" s="138"/>
      <c r="D11" s="688"/>
      <c r="E11" s="689"/>
      <c r="F11" s="689"/>
      <c r="G11" s="689"/>
      <c r="H11" s="689"/>
      <c r="I11" s="689"/>
      <c r="J11" s="689"/>
      <c r="K11" s="689"/>
      <c r="L11" s="689"/>
      <c r="M11" s="689"/>
      <c r="N11" s="689"/>
      <c r="O11" s="689"/>
      <c r="P11" s="690"/>
      <c r="Q11" s="139"/>
      <c r="R11" s="334"/>
      <c r="S11" s="131"/>
      <c r="T11" s="130"/>
      <c r="U11" s="130"/>
      <c r="V11" s="64"/>
      <c r="W11" s="64"/>
      <c r="X11" s="64"/>
      <c r="Y11" s="64"/>
      <c r="Z11" s="64"/>
      <c r="AA11" s="64"/>
      <c r="AB11" s="64"/>
      <c r="AC11" s="64"/>
      <c r="AD11" s="130"/>
      <c r="AE11" s="130"/>
      <c r="AF11" s="130"/>
      <c r="AG11" s="130"/>
      <c r="AH11" s="130"/>
      <c r="AI11" s="130"/>
      <c r="AJ11" s="130"/>
      <c r="AK11" s="130"/>
      <c r="AL11" s="130"/>
      <c r="AM11" s="130"/>
      <c r="AN11" s="130"/>
      <c r="AO11" s="130"/>
      <c r="AP11" s="130"/>
      <c r="AQ11" s="130"/>
      <c r="AR11" s="130"/>
      <c r="AS11" s="130"/>
      <c r="AT11" s="130"/>
      <c r="AU11" s="130"/>
      <c r="AV11" s="130"/>
      <c r="AW11" s="130"/>
      <c r="AX11" s="130"/>
      <c r="AY11" s="130"/>
      <c r="AZ11" s="130"/>
      <c r="BA11" s="130"/>
      <c r="BB11" s="130"/>
      <c r="BC11" s="130"/>
      <c r="BD11" s="130"/>
      <c r="BE11" s="130"/>
      <c r="BF11" s="130"/>
      <c r="BG11" s="130"/>
      <c r="BH11" s="130"/>
      <c r="BI11" s="130"/>
      <c r="BJ11" s="130"/>
      <c r="BK11" s="130"/>
      <c r="BL11" s="130"/>
      <c r="BM11" s="130"/>
      <c r="BN11" s="130"/>
      <c r="BO11" s="130"/>
      <c r="BP11" s="130"/>
      <c r="BQ11" s="130"/>
    </row>
    <row r="12" spans="1:69" s="33" customFormat="1" ht="15.75" customHeight="1">
      <c r="A12" s="327"/>
      <c r="B12" s="334"/>
      <c r="C12" s="233"/>
      <c r="D12" s="497" t="s">
        <v>60</v>
      </c>
      <c r="E12" s="393" t="s">
        <v>18</v>
      </c>
      <c r="F12" s="733" t="s">
        <v>19</v>
      </c>
      <c r="G12" s="733"/>
      <c r="H12" s="733"/>
      <c r="I12" s="733"/>
      <c r="J12" s="733"/>
      <c r="K12" s="733"/>
      <c r="L12" s="733"/>
      <c r="M12" s="733"/>
      <c r="N12" s="733"/>
      <c r="O12" s="733"/>
      <c r="P12" s="393" t="s">
        <v>20</v>
      </c>
      <c r="Q12" s="137"/>
      <c r="R12" s="334"/>
      <c r="S12" s="228"/>
      <c r="T12" s="229"/>
      <c r="U12" s="229"/>
      <c r="V12" s="230"/>
      <c r="W12" s="230"/>
      <c r="X12" s="230"/>
      <c r="Y12" s="230"/>
      <c r="Z12" s="230"/>
      <c r="AA12" s="230"/>
      <c r="AB12" s="230"/>
      <c r="AC12" s="230"/>
      <c r="AD12" s="127"/>
      <c r="AE12" s="127"/>
      <c r="AF12" s="127"/>
      <c r="AG12" s="127"/>
      <c r="AH12" s="127"/>
      <c r="AI12" s="127"/>
      <c r="AJ12" s="127"/>
      <c r="AK12" s="127"/>
      <c r="AL12" s="127"/>
      <c r="AM12" s="127"/>
      <c r="AN12" s="127"/>
      <c r="AO12" s="127"/>
      <c r="AP12" s="127"/>
      <c r="AQ12" s="127"/>
      <c r="AR12" s="127"/>
      <c r="AS12" s="127"/>
      <c r="AT12" s="127"/>
      <c r="AU12" s="127"/>
      <c r="AV12" s="127"/>
      <c r="AW12" s="127"/>
      <c r="AX12" s="127"/>
      <c r="AY12" s="127"/>
      <c r="AZ12" s="127"/>
      <c r="BA12" s="127"/>
      <c r="BB12" s="127"/>
      <c r="BC12" s="127"/>
      <c r="BD12" s="127"/>
      <c r="BE12" s="127"/>
      <c r="BF12" s="127"/>
      <c r="BG12" s="127"/>
      <c r="BH12" s="127"/>
      <c r="BI12" s="127"/>
      <c r="BJ12" s="127"/>
      <c r="BK12" s="127"/>
      <c r="BL12" s="127"/>
      <c r="BM12" s="127"/>
      <c r="BN12" s="127"/>
      <c r="BO12" s="127"/>
      <c r="BP12" s="127"/>
      <c r="BQ12" s="127"/>
    </row>
    <row r="13" spans="1:69" s="28" customFormat="1" ht="15.75" customHeight="1">
      <c r="A13" s="328"/>
      <c r="B13" s="334"/>
      <c r="C13" s="138"/>
      <c r="D13" s="36" t="s">
        <v>604</v>
      </c>
      <c r="E13" s="30" t="s">
        <v>231</v>
      </c>
      <c r="F13" s="71">
        <v>1</v>
      </c>
      <c r="G13" s="72">
        <v>2</v>
      </c>
      <c r="H13" s="73">
        <v>3</v>
      </c>
      <c r="I13" s="74">
        <v>4</v>
      </c>
      <c r="J13" s="75">
        <v>5</v>
      </c>
      <c r="K13" s="76">
        <v>6</v>
      </c>
      <c r="L13" s="77">
        <v>7</v>
      </c>
      <c r="M13" s="78">
        <v>8</v>
      </c>
      <c r="N13" s="79">
        <v>9</v>
      </c>
      <c r="O13" s="80">
        <v>10</v>
      </c>
      <c r="P13" s="32" t="s">
        <v>17</v>
      </c>
      <c r="Q13" s="139"/>
      <c r="R13" s="334"/>
      <c r="S13" s="133">
        <f>VLOOKUP($E13,R.VL_DEQResourcesInvolved,2,FALSE)</f>
        <v>1</v>
      </c>
      <c r="T13" s="121">
        <f>VLOOKUP($E13,R.VL_DEQResourcesInvolved,3,FALSE)</f>
        <v>1</v>
      </c>
      <c r="U13" s="121">
        <f>IF(S13=10,T13,VLOOKUP($E13,R.VL_DEQResourcesInvolved,4,FALSE))</f>
        <v>8</v>
      </c>
      <c r="V13" s="575" t="s">
        <v>554</v>
      </c>
      <c r="W13" s="64"/>
      <c r="X13" s="64"/>
      <c r="Y13" s="64"/>
      <c r="Z13" s="64"/>
      <c r="AA13" s="64"/>
      <c r="AB13" s="64"/>
      <c r="AC13" s="64"/>
      <c r="AD13" s="130"/>
      <c r="AE13" s="130"/>
      <c r="AF13" s="130"/>
      <c r="AG13" s="130"/>
      <c r="AH13" s="130"/>
      <c r="AI13" s="130"/>
      <c r="AJ13" s="130"/>
      <c r="AK13" s="130"/>
      <c r="AL13" s="130"/>
      <c r="AM13" s="130"/>
      <c r="AN13" s="130"/>
      <c r="AO13" s="130"/>
      <c r="AP13" s="130"/>
      <c r="AQ13" s="130"/>
      <c r="AR13" s="130"/>
      <c r="AS13" s="130"/>
      <c r="AT13" s="130"/>
      <c r="AU13" s="130"/>
      <c r="AV13" s="130"/>
      <c r="AW13" s="130"/>
      <c r="AX13" s="130"/>
      <c r="AY13" s="130"/>
      <c r="AZ13" s="130"/>
      <c r="BA13" s="130"/>
      <c r="BB13" s="130"/>
      <c r="BC13" s="130"/>
      <c r="BD13" s="130"/>
      <c r="BE13" s="130"/>
      <c r="BF13" s="130"/>
      <c r="BG13" s="130"/>
      <c r="BH13" s="130"/>
      <c r="BI13" s="130"/>
      <c r="BJ13" s="130"/>
      <c r="BK13" s="130"/>
      <c r="BL13" s="130"/>
      <c r="BM13" s="130"/>
      <c r="BN13" s="130"/>
      <c r="BO13" s="130"/>
      <c r="BP13" s="130"/>
      <c r="BQ13" s="130"/>
    </row>
    <row r="14" spans="1:69" s="28" customFormat="1" ht="15.75" hidden="1" customHeight="1" outlineLevel="1">
      <c r="A14" s="328"/>
      <c r="B14" s="334"/>
      <c r="C14" s="138"/>
      <c r="D14" s="36" t="s">
        <v>0</v>
      </c>
      <c r="E14" s="30" t="s">
        <v>229</v>
      </c>
      <c r="F14" s="71">
        <v>1</v>
      </c>
      <c r="G14" s="72">
        <v>2</v>
      </c>
      <c r="H14" s="73">
        <v>3</v>
      </c>
      <c r="I14" s="74">
        <v>4</v>
      </c>
      <c r="J14" s="75">
        <v>5</v>
      </c>
      <c r="K14" s="76">
        <v>6</v>
      </c>
      <c r="L14" s="77">
        <v>7</v>
      </c>
      <c r="M14" s="78">
        <v>8</v>
      </c>
      <c r="N14" s="79">
        <v>9</v>
      </c>
      <c r="O14" s="80">
        <v>10</v>
      </c>
      <c r="P14" s="32" t="s">
        <v>15</v>
      </c>
      <c r="Q14" s="139"/>
      <c r="R14" s="334"/>
      <c r="S14" s="133">
        <f>VLOOKUP($E14,R.VL_DEQResourcesInvolved,2,FALSE)</f>
        <v>0</v>
      </c>
      <c r="T14" s="121">
        <f>VLOOKUP($E14,R.VL_DEQResourcesInvolved,3,FALSE)</f>
        <v>0</v>
      </c>
      <c r="U14" s="121">
        <f>IF(S14=10,T14,VLOOKUP($E14,R.VL_DEQResourcesInvolved,4,FALSE))</f>
        <v>0</v>
      </c>
      <c r="V14" s="64"/>
      <c r="W14" s="64"/>
      <c r="X14" s="64"/>
      <c r="Y14" s="64"/>
      <c r="Z14" s="64"/>
      <c r="AA14" s="64"/>
      <c r="AB14" s="64"/>
      <c r="AC14" s="64"/>
      <c r="AD14" s="130"/>
      <c r="AE14" s="130"/>
      <c r="AF14" s="130"/>
      <c r="AG14" s="130"/>
      <c r="AH14" s="130"/>
      <c r="AI14" s="130"/>
      <c r="AJ14" s="130"/>
      <c r="AK14" s="130"/>
      <c r="AL14" s="130"/>
      <c r="AM14" s="130"/>
      <c r="AN14" s="130"/>
      <c r="AO14" s="130"/>
      <c r="AP14" s="130"/>
      <c r="AQ14" s="130"/>
      <c r="AR14" s="130"/>
      <c r="AS14" s="130"/>
      <c r="AT14" s="130"/>
      <c r="AU14" s="130"/>
      <c r="AV14" s="130"/>
      <c r="AW14" s="130"/>
      <c r="AX14" s="130"/>
      <c r="AY14" s="130"/>
      <c r="AZ14" s="130"/>
      <c r="BA14" s="130"/>
      <c r="BB14" s="130"/>
      <c r="BC14" s="130"/>
      <c r="BD14" s="130"/>
      <c r="BE14" s="130"/>
      <c r="BF14" s="130"/>
      <c r="BG14" s="130"/>
      <c r="BH14" s="130"/>
      <c r="BI14" s="130"/>
      <c r="BJ14" s="130"/>
      <c r="BK14" s="130"/>
      <c r="BL14" s="130"/>
      <c r="BM14" s="130"/>
      <c r="BN14" s="130"/>
      <c r="BO14" s="130"/>
      <c r="BP14" s="130"/>
      <c r="BQ14" s="130"/>
    </row>
    <row r="15" spans="1:69" s="28" customFormat="1" ht="15.75" hidden="1" customHeight="1" outlineLevel="1">
      <c r="A15" s="328"/>
      <c r="B15" s="334"/>
      <c r="C15" s="138"/>
      <c r="D15" s="36" t="s">
        <v>0</v>
      </c>
      <c r="E15" s="30" t="s">
        <v>229</v>
      </c>
      <c r="F15" s="71">
        <v>1</v>
      </c>
      <c r="G15" s="72">
        <v>2</v>
      </c>
      <c r="H15" s="73">
        <v>3</v>
      </c>
      <c r="I15" s="74">
        <v>4</v>
      </c>
      <c r="J15" s="75">
        <v>5</v>
      </c>
      <c r="K15" s="76">
        <v>6</v>
      </c>
      <c r="L15" s="77">
        <v>7</v>
      </c>
      <c r="M15" s="78">
        <v>8</v>
      </c>
      <c r="N15" s="79">
        <v>9</v>
      </c>
      <c r="O15" s="80">
        <v>10</v>
      </c>
      <c r="P15" s="32" t="s">
        <v>16</v>
      </c>
      <c r="Q15" s="139"/>
      <c r="R15" s="334"/>
      <c r="S15" s="133">
        <f>VLOOKUP($E15,R.VL_DEQResourcesInvolved,2,FALSE)</f>
        <v>0</v>
      </c>
      <c r="T15" s="121">
        <f>VLOOKUP($E15,R.VL_DEQResourcesInvolved,3,FALSE)</f>
        <v>0</v>
      </c>
      <c r="U15" s="121">
        <f>IF(S15=10,T15,VLOOKUP($E15,R.VL_DEQResourcesInvolved,4,FALSE))</f>
        <v>0</v>
      </c>
      <c r="V15" s="64"/>
      <c r="W15" s="64"/>
      <c r="X15" s="64"/>
      <c r="Y15" s="64"/>
      <c r="Z15" s="64"/>
      <c r="AA15" s="64"/>
      <c r="AB15" s="64"/>
      <c r="AC15" s="64"/>
      <c r="AD15" s="130"/>
      <c r="AE15" s="130"/>
      <c r="AF15" s="130"/>
      <c r="AG15" s="130"/>
      <c r="AH15" s="130"/>
      <c r="AI15" s="130"/>
      <c r="AJ15" s="130"/>
      <c r="AK15" s="130"/>
      <c r="AL15" s="130"/>
      <c r="AM15" s="130"/>
      <c r="AN15" s="130"/>
      <c r="AO15" s="130"/>
      <c r="AP15" s="130"/>
      <c r="AQ15" s="130"/>
      <c r="AR15" s="130"/>
      <c r="AS15" s="130"/>
      <c r="AT15" s="130"/>
      <c r="AU15" s="130"/>
      <c r="AV15" s="130"/>
      <c r="AW15" s="130"/>
      <c r="AX15" s="130"/>
      <c r="AY15" s="130"/>
      <c r="AZ15" s="130"/>
      <c r="BA15" s="130"/>
      <c r="BB15" s="130"/>
      <c r="BC15" s="130"/>
      <c r="BD15" s="130"/>
      <c r="BE15" s="130"/>
      <c r="BF15" s="130"/>
      <c r="BG15" s="130"/>
      <c r="BH15" s="130"/>
      <c r="BI15" s="130"/>
      <c r="BJ15" s="130"/>
      <c r="BK15" s="130"/>
      <c r="BL15" s="130"/>
      <c r="BM15" s="130"/>
      <c r="BN15" s="130"/>
      <c r="BO15" s="130"/>
      <c r="BP15" s="130"/>
      <c r="BQ15" s="130"/>
    </row>
    <row r="16" spans="1:69" s="28" customFormat="1" ht="15.75" hidden="1" customHeight="1" outlineLevel="1">
      <c r="A16" s="328"/>
      <c r="B16" s="334"/>
      <c r="C16" s="138"/>
      <c r="D16" s="36"/>
      <c r="E16" s="30" t="s">
        <v>229</v>
      </c>
      <c r="F16" s="71">
        <v>1</v>
      </c>
      <c r="G16" s="72">
        <v>2</v>
      </c>
      <c r="H16" s="73">
        <v>3</v>
      </c>
      <c r="I16" s="74">
        <v>4</v>
      </c>
      <c r="J16" s="75">
        <v>5</v>
      </c>
      <c r="K16" s="76">
        <v>6</v>
      </c>
      <c r="L16" s="77">
        <v>7</v>
      </c>
      <c r="M16" s="78">
        <v>8</v>
      </c>
      <c r="N16" s="79">
        <v>9</v>
      </c>
      <c r="O16" s="80">
        <v>10</v>
      </c>
      <c r="P16" s="32"/>
      <c r="Q16" s="139"/>
      <c r="R16" s="334"/>
      <c r="S16" s="133">
        <f>VLOOKUP($E16,R.VL_DEQResourcesInvolved,2,FALSE)</f>
        <v>0</v>
      </c>
      <c r="T16" s="121">
        <f>VLOOKUP($E16,R.VL_DEQResourcesInvolved,3,FALSE)</f>
        <v>0</v>
      </c>
      <c r="U16" s="121">
        <f>IF(S16=10,T16,VLOOKUP($E16,R.VL_DEQResourcesInvolved,4,FALSE))</f>
        <v>0</v>
      </c>
      <c r="V16" s="64"/>
      <c r="W16" s="64"/>
      <c r="X16" s="64"/>
      <c r="Y16" s="64"/>
      <c r="Z16" s="64"/>
      <c r="AA16" s="64"/>
      <c r="AB16" s="64"/>
      <c r="AC16" s="64"/>
      <c r="AD16" s="130"/>
      <c r="AE16" s="130"/>
      <c r="AF16" s="130"/>
      <c r="AG16" s="130"/>
      <c r="AH16" s="130"/>
      <c r="AI16" s="130"/>
      <c r="AJ16" s="130"/>
      <c r="AK16" s="130"/>
      <c r="AL16" s="130"/>
      <c r="AM16" s="130"/>
      <c r="AN16" s="130"/>
      <c r="AO16" s="130"/>
      <c r="AP16" s="130"/>
      <c r="AQ16" s="130"/>
      <c r="AR16" s="130"/>
      <c r="AS16" s="130"/>
      <c r="AT16" s="130"/>
      <c r="AU16" s="130"/>
      <c r="AV16" s="130"/>
      <c r="AW16" s="130"/>
      <c r="AX16" s="130"/>
      <c r="AY16" s="130"/>
      <c r="AZ16" s="130"/>
      <c r="BA16" s="130"/>
      <c r="BB16" s="130"/>
      <c r="BC16" s="130"/>
      <c r="BD16" s="130"/>
      <c r="BE16" s="130"/>
      <c r="BF16" s="130"/>
      <c r="BG16" s="130"/>
      <c r="BH16" s="130"/>
      <c r="BI16" s="130"/>
      <c r="BJ16" s="130"/>
      <c r="BK16" s="130"/>
      <c r="BL16" s="130"/>
      <c r="BM16" s="130"/>
      <c r="BN16" s="130"/>
      <c r="BO16" s="130"/>
      <c r="BP16" s="130"/>
      <c r="BQ16" s="130"/>
    </row>
    <row r="17" spans="1:69" s="28" customFormat="1" ht="15.75" customHeight="1" collapsed="1">
      <c r="A17" s="328"/>
      <c r="B17" s="334"/>
      <c r="C17" s="245"/>
      <c r="D17" s="442" t="s">
        <v>52</v>
      </c>
      <c r="E17" s="31"/>
      <c r="F17" s="31"/>
      <c r="G17" s="31"/>
      <c r="H17" s="31"/>
      <c r="I17" s="31"/>
      <c r="J17" s="31"/>
      <c r="K17" s="31"/>
      <c r="L17" s="31"/>
      <c r="M17" s="31"/>
      <c r="N17" s="31"/>
      <c r="O17" s="31"/>
      <c r="P17" s="31"/>
      <c r="Q17" s="143"/>
      <c r="R17" s="334"/>
      <c r="S17" s="228"/>
      <c r="T17" s="229"/>
      <c r="U17" s="229"/>
      <c r="V17" s="236"/>
      <c r="W17" s="236"/>
      <c r="X17" s="236"/>
      <c r="Y17" s="236"/>
      <c r="Z17" s="236"/>
      <c r="AA17" s="236"/>
      <c r="AB17" s="236"/>
      <c r="AC17" s="236"/>
      <c r="AD17" s="130"/>
      <c r="AE17" s="130"/>
      <c r="AF17" s="130"/>
      <c r="AG17" s="130"/>
      <c r="AH17" s="130"/>
      <c r="AI17" s="130"/>
      <c r="AJ17" s="130"/>
      <c r="AK17" s="130"/>
      <c r="AL17" s="130"/>
      <c r="AM17" s="130"/>
      <c r="AN17" s="130"/>
      <c r="AO17" s="130"/>
      <c r="AP17" s="130"/>
      <c r="AQ17" s="130"/>
      <c r="AR17" s="130"/>
      <c r="AS17" s="130"/>
      <c r="AT17" s="130"/>
      <c r="AU17" s="130"/>
      <c r="AV17" s="130"/>
      <c r="AW17" s="130"/>
      <c r="AX17" s="130"/>
      <c r="AY17" s="130"/>
      <c r="AZ17" s="130"/>
      <c r="BA17" s="130"/>
      <c r="BB17" s="130"/>
      <c r="BC17" s="130"/>
      <c r="BD17" s="130"/>
      <c r="BE17" s="130"/>
      <c r="BF17" s="130"/>
      <c r="BG17" s="130"/>
      <c r="BH17" s="130"/>
      <c r="BI17" s="130"/>
      <c r="BJ17" s="130"/>
      <c r="BK17" s="130"/>
      <c r="BL17" s="130"/>
      <c r="BM17" s="130"/>
      <c r="BN17" s="130"/>
      <c r="BO17" s="130"/>
      <c r="BP17" s="130"/>
      <c r="BQ17" s="130"/>
    </row>
    <row r="18" spans="1:69" s="28" customFormat="1" ht="15.75" customHeight="1">
      <c r="A18" s="328"/>
      <c r="B18" s="334"/>
      <c r="C18" s="138"/>
      <c r="D18" s="740"/>
      <c r="E18" s="741"/>
      <c r="F18" s="741"/>
      <c r="G18" s="741"/>
      <c r="H18" s="741"/>
      <c r="I18" s="741"/>
      <c r="J18" s="741"/>
      <c r="K18" s="741"/>
      <c r="L18" s="741"/>
      <c r="M18" s="741"/>
      <c r="N18" s="741"/>
      <c r="O18" s="741"/>
      <c r="P18" s="742"/>
      <c r="Q18" s="139"/>
      <c r="R18" s="334"/>
      <c r="S18" s="132" t="s">
        <v>0</v>
      </c>
      <c r="T18" s="131"/>
      <c r="U18" s="131"/>
      <c r="V18" s="64"/>
      <c r="W18" s="64"/>
      <c r="X18" s="64"/>
      <c r="Y18" s="64"/>
      <c r="Z18" s="64"/>
      <c r="AA18" s="64"/>
      <c r="AB18" s="64"/>
      <c r="AC18" s="64"/>
      <c r="AD18" s="130"/>
      <c r="AE18" s="130"/>
      <c r="AF18" s="130"/>
      <c r="AG18" s="130"/>
      <c r="AH18" s="130"/>
      <c r="AI18" s="130"/>
      <c r="AJ18" s="130"/>
      <c r="AK18" s="130"/>
      <c r="AL18" s="130"/>
      <c r="AM18" s="130"/>
      <c r="AN18" s="130"/>
      <c r="AO18" s="130"/>
      <c r="AP18" s="130"/>
      <c r="AQ18" s="130"/>
      <c r="AR18" s="130"/>
      <c r="AS18" s="130"/>
      <c r="AT18" s="130"/>
      <c r="AU18" s="130"/>
      <c r="AV18" s="130"/>
      <c r="AW18" s="130"/>
      <c r="AX18" s="130"/>
      <c r="AY18" s="130"/>
      <c r="AZ18" s="130"/>
      <c r="BA18" s="130"/>
      <c r="BB18" s="130"/>
      <c r="BC18" s="130"/>
      <c r="BD18" s="130"/>
      <c r="BE18" s="130"/>
      <c r="BF18" s="130"/>
      <c r="BG18" s="130"/>
      <c r="BH18" s="130"/>
      <c r="BI18" s="130"/>
      <c r="BJ18" s="130"/>
      <c r="BK18" s="130"/>
      <c r="BL18" s="130"/>
      <c r="BM18" s="130"/>
      <c r="BN18" s="130"/>
      <c r="BO18" s="130"/>
      <c r="BP18" s="130"/>
      <c r="BQ18" s="130"/>
    </row>
    <row r="19" spans="1:69" s="33" customFormat="1" ht="15.75" customHeight="1">
      <c r="A19" s="327"/>
      <c r="B19" s="334"/>
      <c r="C19" s="232"/>
      <c r="D19" s="442" t="s">
        <v>60</v>
      </c>
      <c r="E19" s="292" t="s">
        <v>18</v>
      </c>
      <c r="F19" s="292" t="s">
        <v>19</v>
      </c>
      <c r="G19" s="292"/>
      <c r="H19" s="292"/>
      <c r="I19" s="292"/>
      <c r="J19" s="292"/>
      <c r="K19" s="292"/>
      <c r="L19" s="292"/>
      <c r="M19" s="292"/>
      <c r="N19" s="292"/>
      <c r="O19" s="292"/>
      <c r="P19" s="292" t="s">
        <v>20</v>
      </c>
      <c r="Q19" s="137"/>
      <c r="R19" s="334"/>
      <c r="S19" s="228"/>
      <c r="T19" s="229"/>
      <c r="U19" s="229"/>
      <c r="V19" s="230"/>
      <c r="W19" s="230"/>
      <c r="X19" s="230"/>
      <c r="Y19" s="230"/>
      <c r="Z19" s="230"/>
      <c r="AA19" s="230"/>
      <c r="AB19" s="230"/>
      <c r="AC19" s="230"/>
      <c r="AD19" s="127"/>
      <c r="AE19" s="127"/>
      <c r="AF19" s="127"/>
      <c r="AG19" s="127"/>
      <c r="AH19" s="127"/>
      <c r="AI19" s="127"/>
      <c r="AJ19" s="127"/>
      <c r="AK19" s="127"/>
      <c r="AL19" s="127"/>
      <c r="AM19" s="127"/>
      <c r="AN19" s="127"/>
      <c r="AO19" s="127"/>
      <c r="AP19" s="127"/>
      <c r="AQ19" s="127"/>
      <c r="AR19" s="127"/>
      <c r="AS19" s="127"/>
      <c r="AT19" s="127"/>
      <c r="AU19" s="127"/>
      <c r="AV19" s="127"/>
      <c r="AW19" s="127"/>
      <c r="AX19" s="127"/>
      <c r="AY19" s="127"/>
      <c r="AZ19" s="127"/>
      <c r="BA19" s="127"/>
      <c r="BB19" s="127"/>
      <c r="BC19" s="127"/>
      <c r="BD19" s="127"/>
      <c r="BE19" s="127"/>
      <c r="BF19" s="127"/>
      <c r="BG19" s="127"/>
      <c r="BH19" s="127"/>
      <c r="BI19" s="127"/>
      <c r="BJ19" s="127"/>
      <c r="BK19" s="127"/>
      <c r="BL19" s="127"/>
      <c r="BM19" s="127"/>
      <c r="BN19" s="127"/>
      <c r="BO19" s="127"/>
      <c r="BP19" s="127"/>
      <c r="BQ19" s="127"/>
    </row>
    <row r="20" spans="1:69" s="28" customFormat="1" ht="15.75" customHeight="1">
      <c r="A20" s="328"/>
      <c r="B20" s="334"/>
      <c r="C20" s="138"/>
      <c r="D20" s="36"/>
      <c r="E20" s="30" t="s">
        <v>229</v>
      </c>
      <c r="F20" s="71">
        <v>1</v>
      </c>
      <c r="G20" s="72">
        <v>2</v>
      </c>
      <c r="H20" s="73">
        <v>3</v>
      </c>
      <c r="I20" s="74">
        <v>4</v>
      </c>
      <c r="J20" s="75">
        <v>5</v>
      </c>
      <c r="K20" s="76">
        <v>6</v>
      </c>
      <c r="L20" s="77">
        <v>7</v>
      </c>
      <c r="M20" s="78">
        <v>8</v>
      </c>
      <c r="N20" s="79">
        <v>9</v>
      </c>
      <c r="O20" s="80">
        <v>10</v>
      </c>
      <c r="P20" s="32" t="s">
        <v>0</v>
      </c>
      <c r="Q20" s="139"/>
      <c r="R20" s="334"/>
      <c r="S20" s="133">
        <f>VLOOKUP($E20,R.VL_DEQResourcesInvolved,2,FALSE)</f>
        <v>0</v>
      </c>
      <c r="T20" s="121">
        <f>VLOOKUP($E20,R.VL_DEQResourcesInvolved,3,FALSE)</f>
        <v>0</v>
      </c>
      <c r="U20" s="121">
        <f>IF(S20=10,T20,VLOOKUP($E20,R.VL_DEQResourcesInvolved,4,FALSE))</f>
        <v>0</v>
      </c>
      <c r="V20" s="575" t="s">
        <v>554</v>
      </c>
      <c r="W20" s="64"/>
      <c r="X20" s="64"/>
      <c r="Y20" s="64"/>
      <c r="Z20" s="64"/>
      <c r="AA20" s="64"/>
      <c r="AB20" s="64"/>
      <c r="AC20" s="64"/>
      <c r="AD20" s="130"/>
      <c r="AE20" s="130"/>
      <c r="AF20" s="130"/>
      <c r="AG20" s="130"/>
      <c r="AH20" s="130"/>
      <c r="AI20" s="130"/>
      <c r="AJ20" s="130"/>
      <c r="AK20" s="130"/>
      <c r="AL20" s="130"/>
      <c r="AM20" s="130"/>
      <c r="AN20" s="130"/>
      <c r="AO20" s="130"/>
      <c r="AP20" s="130"/>
      <c r="AQ20" s="130"/>
      <c r="AR20" s="130"/>
      <c r="AS20" s="130"/>
      <c r="AT20" s="130"/>
      <c r="AU20" s="130"/>
      <c r="AV20" s="130"/>
      <c r="AW20" s="130"/>
      <c r="AX20" s="130"/>
      <c r="AY20" s="130"/>
      <c r="AZ20" s="130"/>
      <c r="BA20" s="130"/>
      <c r="BB20" s="130"/>
      <c r="BC20" s="130"/>
      <c r="BD20" s="130"/>
      <c r="BE20" s="130"/>
      <c r="BF20" s="130"/>
      <c r="BG20" s="130"/>
      <c r="BH20" s="130"/>
      <c r="BI20" s="130"/>
      <c r="BJ20" s="130"/>
      <c r="BK20" s="130"/>
      <c r="BL20" s="130"/>
      <c r="BM20" s="130"/>
      <c r="BN20" s="130"/>
      <c r="BO20" s="130"/>
      <c r="BP20" s="130"/>
      <c r="BQ20" s="130"/>
    </row>
    <row r="21" spans="1:69" s="28" customFormat="1" ht="15.75" hidden="1" customHeight="1" outlineLevel="1">
      <c r="A21" s="328"/>
      <c r="B21" s="334"/>
      <c r="C21" s="138"/>
      <c r="D21" s="504"/>
      <c r="E21" s="30" t="s">
        <v>229</v>
      </c>
      <c r="F21" s="71">
        <v>1</v>
      </c>
      <c r="G21" s="72">
        <v>2</v>
      </c>
      <c r="H21" s="73">
        <v>3</v>
      </c>
      <c r="I21" s="74">
        <v>4</v>
      </c>
      <c r="J21" s="75">
        <v>5</v>
      </c>
      <c r="K21" s="76">
        <v>6</v>
      </c>
      <c r="L21" s="77">
        <v>7</v>
      </c>
      <c r="M21" s="78">
        <v>8</v>
      </c>
      <c r="N21" s="79">
        <v>9</v>
      </c>
      <c r="O21" s="80">
        <v>10</v>
      </c>
      <c r="P21" s="32"/>
      <c r="Q21" s="139"/>
      <c r="R21" s="334"/>
      <c r="S21" s="133">
        <f>VLOOKUP($E21,R.VL_DEQResourcesInvolved,2,FALSE)</f>
        <v>0</v>
      </c>
      <c r="T21" s="121">
        <f>VLOOKUP($E21,R.VL_DEQResourcesInvolved,3,FALSE)</f>
        <v>0</v>
      </c>
      <c r="U21" s="121">
        <f>IF(S21=10,T21,VLOOKUP($E21,R.VL_DEQResourcesInvolved,4,FALSE))</f>
        <v>0</v>
      </c>
      <c r="V21" s="64"/>
      <c r="W21" s="64"/>
      <c r="X21" s="64"/>
      <c r="Y21" s="64"/>
      <c r="Z21" s="64"/>
      <c r="AA21" s="64"/>
      <c r="AB21" s="64"/>
      <c r="AC21" s="64"/>
      <c r="AD21" s="130"/>
      <c r="AE21" s="130"/>
      <c r="AF21" s="130"/>
      <c r="AG21" s="130"/>
      <c r="AH21" s="130"/>
      <c r="AI21" s="130"/>
      <c r="AJ21" s="130"/>
      <c r="AK21" s="130"/>
      <c r="AL21" s="130"/>
      <c r="AM21" s="130"/>
      <c r="AN21" s="130"/>
      <c r="AO21" s="130"/>
      <c r="AP21" s="130"/>
      <c r="AQ21" s="130"/>
      <c r="AR21" s="130"/>
      <c r="AS21" s="130"/>
      <c r="AT21" s="130"/>
      <c r="AU21" s="130"/>
      <c r="AV21" s="130"/>
      <c r="AW21" s="130"/>
      <c r="AX21" s="130"/>
      <c r="AY21" s="130"/>
      <c r="AZ21" s="130"/>
      <c r="BA21" s="130"/>
      <c r="BB21" s="130"/>
      <c r="BC21" s="130"/>
      <c r="BD21" s="130"/>
      <c r="BE21" s="130"/>
      <c r="BF21" s="130"/>
      <c r="BG21" s="130"/>
      <c r="BH21" s="130"/>
      <c r="BI21" s="130"/>
      <c r="BJ21" s="130"/>
      <c r="BK21" s="130"/>
      <c r="BL21" s="130"/>
      <c r="BM21" s="130"/>
      <c r="BN21" s="130"/>
      <c r="BO21" s="130"/>
      <c r="BP21" s="130"/>
      <c r="BQ21" s="130"/>
    </row>
    <row r="22" spans="1:69" s="28" customFormat="1" ht="15.75" hidden="1" customHeight="1" outlineLevel="1">
      <c r="A22" s="328"/>
      <c r="B22" s="334"/>
      <c r="C22" s="138"/>
      <c r="D22" s="36"/>
      <c r="E22" s="30" t="s">
        <v>229</v>
      </c>
      <c r="F22" s="71">
        <v>1</v>
      </c>
      <c r="G22" s="72">
        <v>2</v>
      </c>
      <c r="H22" s="73">
        <v>3</v>
      </c>
      <c r="I22" s="74">
        <v>4</v>
      </c>
      <c r="J22" s="75">
        <v>5</v>
      </c>
      <c r="K22" s="76">
        <v>6</v>
      </c>
      <c r="L22" s="77">
        <v>7</v>
      </c>
      <c r="M22" s="78">
        <v>8</v>
      </c>
      <c r="N22" s="79">
        <v>9</v>
      </c>
      <c r="O22" s="80">
        <v>10</v>
      </c>
      <c r="P22" s="32"/>
      <c r="Q22" s="139"/>
      <c r="R22" s="334"/>
      <c r="S22" s="133">
        <f>VLOOKUP($E22,R.VL_DEQResourcesInvolved,2,FALSE)</f>
        <v>0</v>
      </c>
      <c r="T22" s="121">
        <f>VLOOKUP($E22,R.VL_DEQResourcesInvolved,3,FALSE)</f>
        <v>0</v>
      </c>
      <c r="U22" s="121">
        <f>IF(S22=10,T22,VLOOKUP($E22,R.VL_DEQResourcesInvolved,4,FALSE))</f>
        <v>0</v>
      </c>
      <c r="V22" s="64"/>
      <c r="W22" s="64"/>
      <c r="X22" s="64"/>
      <c r="Y22" s="64"/>
      <c r="Z22" s="64"/>
      <c r="AA22" s="64"/>
      <c r="AB22" s="64"/>
      <c r="AC22" s="64"/>
      <c r="AD22" s="130"/>
      <c r="AE22" s="130"/>
      <c r="AF22" s="130"/>
      <c r="AG22" s="130"/>
      <c r="AH22" s="130"/>
      <c r="AI22" s="130"/>
      <c r="AJ22" s="130"/>
      <c r="AK22" s="130"/>
      <c r="AL22" s="130"/>
      <c r="AM22" s="130"/>
      <c r="AN22" s="130"/>
      <c r="AO22" s="130"/>
      <c r="AP22" s="130"/>
      <c r="AQ22" s="130"/>
      <c r="AR22" s="130"/>
      <c r="AS22" s="130"/>
      <c r="AT22" s="130"/>
      <c r="AU22" s="130"/>
      <c r="AV22" s="130"/>
      <c r="AW22" s="130"/>
      <c r="AX22" s="130"/>
      <c r="AY22" s="130"/>
      <c r="AZ22" s="130"/>
      <c r="BA22" s="130"/>
      <c r="BB22" s="130"/>
      <c r="BC22" s="130"/>
      <c r="BD22" s="130"/>
      <c r="BE22" s="130"/>
      <c r="BF22" s="130"/>
      <c r="BG22" s="130"/>
      <c r="BH22" s="130"/>
      <c r="BI22" s="130"/>
      <c r="BJ22" s="130"/>
      <c r="BK22" s="130"/>
      <c r="BL22" s="130"/>
      <c r="BM22" s="130"/>
      <c r="BN22" s="130"/>
      <c r="BO22" s="130"/>
      <c r="BP22" s="130"/>
      <c r="BQ22" s="130"/>
    </row>
    <row r="23" spans="1:69" s="28" customFormat="1" ht="15.75" hidden="1" customHeight="1" outlineLevel="1">
      <c r="A23" s="328"/>
      <c r="B23" s="334"/>
      <c r="C23" s="138"/>
      <c r="D23" s="36"/>
      <c r="E23" s="30" t="s">
        <v>229</v>
      </c>
      <c r="F23" s="71">
        <v>1</v>
      </c>
      <c r="G23" s="72">
        <v>2</v>
      </c>
      <c r="H23" s="73">
        <v>3</v>
      </c>
      <c r="I23" s="74">
        <v>4</v>
      </c>
      <c r="J23" s="75">
        <v>5</v>
      </c>
      <c r="K23" s="76">
        <v>6</v>
      </c>
      <c r="L23" s="77">
        <v>7</v>
      </c>
      <c r="M23" s="78">
        <v>8</v>
      </c>
      <c r="N23" s="79">
        <v>9</v>
      </c>
      <c r="O23" s="80">
        <v>10</v>
      </c>
      <c r="P23" s="32"/>
      <c r="Q23" s="139"/>
      <c r="R23" s="334"/>
      <c r="S23" s="133">
        <f>VLOOKUP($E23,R.VL_DEQResourcesInvolved,2,FALSE)</f>
        <v>0</v>
      </c>
      <c r="T23" s="121">
        <f>VLOOKUP($E23,R.VL_DEQResourcesInvolved,3,FALSE)</f>
        <v>0</v>
      </c>
      <c r="U23" s="121">
        <f>IF(S23=10,T23,VLOOKUP($E23,R.VL_DEQResourcesInvolved,4,FALSE))</f>
        <v>0</v>
      </c>
      <c r="V23" s="64"/>
      <c r="W23" s="64"/>
      <c r="X23" s="64"/>
      <c r="Y23" s="64"/>
      <c r="Z23" s="64"/>
      <c r="AA23" s="64"/>
      <c r="AB23" s="64"/>
      <c r="AC23" s="64"/>
      <c r="AD23" s="130"/>
      <c r="AE23" s="130"/>
      <c r="AF23" s="130"/>
      <c r="AG23" s="130"/>
      <c r="AH23" s="130"/>
      <c r="AI23" s="130"/>
      <c r="AJ23" s="130"/>
      <c r="AK23" s="130"/>
      <c r="AL23" s="130"/>
      <c r="AM23" s="130"/>
      <c r="AN23" s="130"/>
      <c r="AO23" s="130"/>
      <c r="AP23" s="130"/>
      <c r="AQ23" s="130"/>
      <c r="AR23" s="130"/>
      <c r="AS23" s="130"/>
      <c r="AT23" s="130"/>
      <c r="AU23" s="130"/>
      <c r="AV23" s="130"/>
      <c r="AW23" s="130"/>
      <c r="AX23" s="130"/>
      <c r="AY23" s="130"/>
      <c r="AZ23" s="130"/>
      <c r="BA23" s="130"/>
      <c r="BB23" s="130"/>
      <c r="BC23" s="130"/>
      <c r="BD23" s="130"/>
      <c r="BE23" s="130"/>
      <c r="BF23" s="130"/>
      <c r="BG23" s="130"/>
      <c r="BH23" s="130"/>
      <c r="BI23" s="130"/>
      <c r="BJ23" s="130"/>
      <c r="BK23" s="130"/>
      <c r="BL23" s="130"/>
      <c r="BM23" s="130"/>
      <c r="BN23" s="130"/>
      <c r="BO23" s="130"/>
      <c r="BP23" s="130"/>
      <c r="BQ23" s="130"/>
    </row>
    <row r="24" spans="1:69" s="28" customFormat="1" ht="14.25" customHeight="1" collapsed="1">
      <c r="A24" s="328"/>
      <c r="B24" s="334"/>
      <c r="C24" s="376"/>
      <c r="D24" s="481"/>
      <c r="E24" s="739"/>
      <c r="F24" s="739"/>
      <c r="G24" s="739"/>
      <c r="H24" s="739"/>
      <c r="I24" s="739"/>
      <c r="J24" s="739"/>
      <c r="K24" s="739"/>
      <c r="L24" s="739"/>
      <c r="M24" s="739"/>
      <c r="N24" s="739"/>
      <c r="O24" s="739"/>
      <c r="P24" s="739"/>
      <c r="Q24" s="379"/>
      <c r="R24" s="334"/>
      <c r="S24" s="132"/>
      <c r="T24" s="131"/>
      <c r="U24" s="131"/>
      <c r="V24" s="64"/>
      <c r="W24" s="64"/>
      <c r="X24" s="64"/>
      <c r="Y24" s="64"/>
      <c r="Z24" s="64"/>
      <c r="AA24" s="64"/>
      <c r="AB24" s="64"/>
      <c r="AC24" s="64"/>
      <c r="AD24" s="130"/>
      <c r="AE24" s="130"/>
      <c r="AF24" s="130"/>
      <c r="AG24" s="130"/>
      <c r="AH24" s="130"/>
      <c r="AI24" s="130"/>
      <c r="AJ24" s="130"/>
      <c r="AK24" s="130"/>
      <c r="AL24" s="130"/>
      <c r="AM24" s="130"/>
      <c r="AN24" s="130"/>
      <c r="AO24" s="130"/>
      <c r="AP24" s="130"/>
      <c r="AQ24" s="130"/>
      <c r="AR24" s="130"/>
      <c r="AS24" s="130"/>
      <c r="AT24" s="130"/>
      <c r="AU24" s="130"/>
      <c r="AV24" s="130"/>
      <c r="AW24" s="130"/>
      <c r="AX24" s="130"/>
      <c r="AY24" s="130"/>
      <c r="AZ24" s="130"/>
      <c r="BA24" s="130"/>
      <c r="BB24" s="130"/>
      <c r="BC24" s="130"/>
      <c r="BD24" s="130"/>
      <c r="BE24" s="130"/>
      <c r="BF24" s="130"/>
      <c r="BG24" s="130"/>
      <c r="BH24" s="130"/>
      <c r="BI24" s="130"/>
      <c r="BJ24" s="130"/>
      <c r="BK24" s="130"/>
      <c r="BL24" s="130"/>
      <c r="BM24" s="130"/>
      <c r="BN24" s="130"/>
      <c r="BO24" s="130"/>
      <c r="BP24" s="130"/>
      <c r="BQ24" s="130"/>
    </row>
    <row r="25" spans="1:69" s="33" customFormat="1" ht="30" customHeight="1">
      <c r="A25" s="350" t="s">
        <v>107</v>
      </c>
      <c r="B25" s="334"/>
      <c r="C25" s="136"/>
      <c r="D25" s="304" t="s">
        <v>148</v>
      </c>
      <c r="E25" s="302"/>
      <c r="F25" s="94"/>
      <c r="G25" s="94"/>
      <c r="H25" s="94"/>
      <c r="I25" s="94"/>
      <c r="J25" s="94"/>
      <c r="K25" s="94"/>
      <c r="L25" s="94"/>
      <c r="M25" s="94"/>
      <c r="N25" s="94"/>
      <c r="O25" s="94"/>
      <c r="P25" s="94"/>
      <c r="Q25" s="137"/>
      <c r="R25" s="334"/>
      <c r="S25" s="134"/>
      <c r="T25" s="131"/>
      <c r="U25" s="131"/>
      <c r="V25" s="129"/>
      <c r="W25" s="129"/>
      <c r="X25" s="129"/>
      <c r="Y25" s="129"/>
      <c r="Z25" s="129"/>
      <c r="AA25" s="129"/>
      <c r="AB25" s="129"/>
      <c r="AC25" s="129"/>
      <c r="AD25" s="127"/>
      <c r="AE25" s="127"/>
      <c r="AF25" s="127"/>
      <c r="AG25" s="127"/>
      <c r="AH25" s="127"/>
      <c r="AI25" s="127"/>
      <c r="AJ25" s="127"/>
      <c r="AK25" s="127"/>
      <c r="AL25" s="127"/>
      <c r="AM25" s="127"/>
      <c r="AN25" s="127"/>
      <c r="AO25" s="127"/>
      <c r="AP25" s="127"/>
      <c r="AQ25" s="127"/>
      <c r="AR25" s="127"/>
      <c r="AS25" s="127"/>
      <c r="AT25" s="127"/>
      <c r="AU25" s="127"/>
      <c r="AV25" s="127"/>
      <c r="AW25" s="127"/>
      <c r="AX25" s="127"/>
      <c r="AY25" s="127"/>
      <c r="AZ25" s="127"/>
      <c r="BA25" s="127"/>
      <c r="BB25" s="127"/>
      <c r="BC25" s="127"/>
      <c r="BD25" s="127"/>
      <c r="BE25" s="127"/>
      <c r="BF25" s="127"/>
      <c r="BG25" s="127"/>
      <c r="BH25" s="127"/>
      <c r="BI25" s="127"/>
      <c r="BJ25" s="127"/>
      <c r="BK25" s="127"/>
      <c r="BL25" s="127"/>
      <c r="BM25" s="127"/>
      <c r="BN25" s="127"/>
      <c r="BO25" s="127"/>
      <c r="BP25" s="127"/>
      <c r="BQ25" s="127"/>
    </row>
    <row r="26" spans="1:69" s="33" customFormat="1" ht="14.25" customHeight="1">
      <c r="A26" s="327"/>
      <c r="B26" s="334"/>
      <c r="C26" s="136"/>
      <c r="D26" s="443" t="s">
        <v>53</v>
      </c>
      <c r="E26" s="94"/>
      <c r="F26" s="94"/>
      <c r="G26" s="94"/>
      <c r="H26" s="94"/>
      <c r="I26" s="94"/>
      <c r="J26" s="94"/>
      <c r="K26" s="94"/>
      <c r="L26" s="94"/>
      <c r="M26" s="94"/>
      <c r="N26" s="94"/>
      <c r="O26" s="94"/>
      <c r="P26" s="94"/>
      <c r="Q26" s="137"/>
      <c r="R26" s="334"/>
      <c r="S26" s="134"/>
      <c r="T26" s="131"/>
      <c r="U26" s="131"/>
      <c r="V26" s="129"/>
      <c r="W26" s="129"/>
      <c r="X26" s="129"/>
      <c r="Y26" s="129"/>
      <c r="Z26" s="129"/>
      <c r="AA26" s="129"/>
      <c r="AB26" s="129"/>
      <c r="AC26" s="129"/>
      <c r="AD26" s="127"/>
      <c r="AE26" s="127"/>
      <c r="AF26" s="127"/>
      <c r="AG26" s="127"/>
      <c r="AH26" s="127"/>
      <c r="AI26" s="127"/>
      <c r="AJ26" s="127"/>
      <c r="AK26" s="127"/>
      <c r="AL26" s="127"/>
      <c r="AM26" s="127"/>
      <c r="AN26" s="127"/>
      <c r="AO26" s="127"/>
      <c r="AP26" s="127"/>
      <c r="AQ26" s="127"/>
      <c r="AR26" s="127"/>
      <c r="AS26" s="127"/>
      <c r="AT26" s="127"/>
      <c r="AU26" s="127"/>
      <c r="AV26" s="127"/>
      <c r="AW26" s="127"/>
      <c r="AX26" s="127"/>
      <c r="AY26" s="127"/>
      <c r="AZ26" s="127"/>
      <c r="BA26" s="127"/>
      <c r="BB26" s="127"/>
      <c r="BC26" s="127"/>
      <c r="BD26" s="127"/>
      <c r="BE26" s="127"/>
      <c r="BF26" s="127"/>
      <c r="BG26" s="127"/>
      <c r="BH26" s="127"/>
      <c r="BI26" s="127"/>
      <c r="BJ26" s="127"/>
      <c r="BK26" s="127"/>
      <c r="BL26" s="127"/>
      <c r="BM26" s="127"/>
      <c r="BN26" s="127"/>
      <c r="BO26" s="127"/>
      <c r="BP26" s="127"/>
      <c r="BQ26" s="127"/>
    </row>
    <row r="27" spans="1:69" s="28" customFormat="1" ht="15.75" customHeight="1">
      <c r="A27" s="328"/>
      <c r="B27" s="334"/>
      <c r="C27" s="138"/>
      <c r="D27" s="688"/>
      <c r="E27" s="689"/>
      <c r="F27" s="689"/>
      <c r="G27" s="689"/>
      <c r="H27" s="689"/>
      <c r="I27" s="689"/>
      <c r="J27" s="689"/>
      <c r="K27" s="689"/>
      <c r="L27" s="689"/>
      <c r="M27" s="689"/>
      <c r="N27" s="689"/>
      <c r="O27" s="689"/>
      <c r="P27" s="690"/>
      <c r="Q27" s="139"/>
      <c r="R27" s="334"/>
      <c r="S27" s="132" t="s">
        <v>0</v>
      </c>
      <c r="T27" s="131"/>
      <c r="U27" s="131"/>
      <c r="V27" s="64"/>
      <c r="W27" s="64"/>
      <c r="X27" s="64"/>
      <c r="Y27" s="64"/>
      <c r="Z27" s="64"/>
      <c r="AA27" s="64"/>
      <c r="AB27" s="64"/>
      <c r="AC27" s="64"/>
      <c r="AD27" s="130"/>
      <c r="AE27" s="130"/>
      <c r="AF27" s="130"/>
      <c r="AG27" s="130"/>
      <c r="AH27" s="130"/>
      <c r="AI27" s="130"/>
      <c r="AJ27" s="130"/>
      <c r="AK27" s="130"/>
      <c r="AL27" s="130"/>
      <c r="AM27" s="130"/>
      <c r="AN27" s="130"/>
      <c r="AO27" s="130"/>
      <c r="AP27" s="130"/>
      <c r="AQ27" s="130"/>
      <c r="AR27" s="130"/>
      <c r="AS27" s="130"/>
      <c r="AT27" s="130"/>
      <c r="AU27" s="130"/>
      <c r="AV27" s="130"/>
      <c r="AW27" s="130"/>
      <c r="AX27" s="130"/>
      <c r="AY27" s="130"/>
      <c r="AZ27" s="130"/>
      <c r="BA27" s="130"/>
      <c r="BB27" s="130"/>
      <c r="BC27" s="130"/>
      <c r="BD27" s="130"/>
      <c r="BE27" s="130"/>
      <c r="BF27" s="130"/>
      <c r="BG27" s="130"/>
      <c r="BH27" s="130"/>
      <c r="BI27" s="130"/>
      <c r="BJ27" s="130"/>
      <c r="BK27" s="130"/>
      <c r="BL27" s="130"/>
      <c r="BM27" s="130"/>
      <c r="BN27" s="130"/>
      <c r="BO27" s="130"/>
      <c r="BP27" s="130"/>
      <c r="BQ27" s="130"/>
    </row>
    <row r="28" spans="1:69" s="33" customFormat="1" ht="15.75" customHeight="1">
      <c r="A28" s="327"/>
      <c r="B28" s="334"/>
      <c r="C28" s="232"/>
      <c r="D28" s="442" t="s">
        <v>60</v>
      </c>
      <c r="E28" s="159" t="s">
        <v>18</v>
      </c>
      <c r="F28" s="159" t="s">
        <v>19</v>
      </c>
      <c r="G28" s="159"/>
      <c r="H28" s="159"/>
      <c r="I28" s="159"/>
      <c r="J28" s="159"/>
      <c r="K28" s="159"/>
      <c r="L28" s="159"/>
      <c r="M28" s="159"/>
      <c r="N28" s="159"/>
      <c r="O28" s="159"/>
      <c r="P28" s="159" t="s">
        <v>20</v>
      </c>
      <c r="Q28" s="137"/>
      <c r="R28" s="334"/>
      <c r="S28" s="228"/>
      <c r="T28" s="229"/>
      <c r="U28" s="229"/>
      <c r="V28" s="230"/>
      <c r="W28" s="230"/>
      <c r="X28" s="230"/>
      <c r="Y28" s="230"/>
      <c r="Z28" s="230"/>
      <c r="AA28" s="230"/>
      <c r="AB28" s="230"/>
      <c r="AC28" s="230"/>
      <c r="AD28" s="127"/>
      <c r="AE28" s="127"/>
      <c r="AF28" s="127"/>
      <c r="AG28" s="127"/>
      <c r="AH28" s="127"/>
      <c r="AI28" s="127"/>
      <c r="AJ28" s="127"/>
      <c r="AK28" s="127"/>
      <c r="AL28" s="127"/>
      <c r="AM28" s="127"/>
      <c r="AN28" s="127"/>
      <c r="AO28" s="127"/>
      <c r="AP28" s="127"/>
      <c r="AQ28" s="127"/>
      <c r="AR28" s="127"/>
      <c r="AS28" s="127"/>
      <c r="AT28" s="127"/>
      <c r="AU28" s="127"/>
      <c r="AV28" s="127"/>
      <c r="AW28" s="127"/>
      <c r="AX28" s="127"/>
      <c r="AY28" s="127"/>
      <c r="AZ28" s="127"/>
      <c r="BA28" s="127"/>
      <c r="BB28" s="127"/>
      <c r="BC28" s="127"/>
      <c r="BD28" s="127"/>
      <c r="BE28" s="127"/>
      <c r="BF28" s="127"/>
      <c r="BG28" s="127"/>
      <c r="BH28" s="127"/>
      <c r="BI28" s="127"/>
      <c r="BJ28" s="127"/>
      <c r="BK28" s="127"/>
      <c r="BL28" s="127"/>
      <c r="BM28" s="127"/>
      <c r="BN28" s="127"/>
      <c r="BO28" s="127"/>
      <c r="BP28" s="127"/>
      <c r="BQ28" s="127"/>
    </row>
    <row r="29" spans="1:69" s="28" customFormat="1" ht="15.75" customHeight="1">
      <c r="A29" s="328"/>
      <c r="B29" s="334"/>
      <c r="C29" s="138"/>
      <c r="D29" s="36" t="s">
        <v>605</v>
      </c>
      <c r="E29" s="30" t="s">
        <v>231</v>
      </c>
      <c r="F29" s="71">
        <v>1</v>
      </c>
      <c r="G29" s="72">
        <v>2</v>
      </c>
      <c r="H29" s="73">
        <v>3</v>
      </c>
      <c r="I29" s="74">
        <v>4</v>
      </c>
      <c r="J29" s="75">
        <v>5</v>
      </c>
      <c r="K29" s="76">
        <v>6</v>
      </c>
      <c r="L29" s="77">
        <v>7</v>
      </c>
      <c r="M29" s="78">
        <v>8</v>
      </c>
      <c r="N29" s="79">
        <v>9</v>
      </c>
      <c r="O29" s="80">
        <v>10</v>
      </c>
      <c r="P29" s="32" t="s">
        <v>17</v>
      </c>
      <c r="Q29" s="139"/>
      <c r="R29" s="334"/>
      <c r="S29" s="133">
        <f>VLOOKUP($E29,R.VL_DEQResourcesInvolved,2,FALSE)</f>
        <v>1</v>
      </c>
      <c r="T29" s="121">
        <f>VLOOKUP($E29,R.VL_DEQResourcesInvolved,3,FALSE)</f>
        <v>1</v>
      </c>
      <c r="U29" s="121">
        <f>IF(S29=10,T29,VLOOKUP($E29,R.VL_DEQResourcesInvolved,4,FALSE))</f>
        <v>8</v>
      </c>
      <c r="V29" s="575" t="s">
        <v>554</v>
      </c>
      <c r="W29" s="64"/>
      <c r="X29" s="64"/>
      <c r="Y29" s="64"/>
      <c r="Z29" s="64"/>
      <c r="AA29" s="64"/>
      <c r="AB29" s="64"/>
      <c r="AC29" s="64"/>
      <c r="AD29" s="130"/>
      <c r="AE29" s="130"/>
      <c r="AF29" s="130"/>
      <c r="AG29" s="130"/>
      <c r="AH29" s="130"/>
      <c r="AI29" s="130"/>
      <c r="AJ29" s="130"/>
      <c r="AK29" s="130"/>
      <c r="AL29" s="130"/>
      <c r="AM29" s="130"/>
      <c r="AN29" s="130"/>
      <c r="AO29" s="130"/>
      <c r="AP29" s="130"/>
      <c r="AQ29" s="130"/>
      <c r="AR29" s="130"/>
      <c r="AS29" s="130"/>
      <c r="AT29" s="130"/>
      <c r="AU29" s="130"/>
      <c r="AV29" s="130"/>
      <c r="AW29" s="130"/>
      <c r="AX29" s="130"/>
      <c r="AY29" s="130"/>
      <c r="AZ29" s="130"/>
      <c r="BA29" s="130"/>
      <c r="BB29" s="130"/>
      <c r="BC29" s="130"/>
      <c r="BD29" s="130"/>
      <c r="BE29" s="130"/>
      <c r="BF29" s="130"/>
      <c r="BG29" s="130"/>
      <c r="BH29" s="130"/>
      <c r="BI29" s="130"/>
      <c r="BJ29" s="130"/>
      <c r="BK29" s="130"/>
      <c r="BL29" s="130"/>
      <c r="BM29" s="130"/>
      <c r="BN29" s="130"/>
      <c r="BO29" s="130"/>
      <c r="BP29" s="130"/>
      <c r="BQ29" s="130"/>
    </row>
    <row r="30" spans="1:69" s="28" customFormat="1" ht="15.75" hidden="1" customHeight="1" outlineLevel="1">
      <c r="A30" s="328"/>
      <c r="B30" s="334"/>
      <c r="C30" s="138"/>
      <c r="D30" s="36"/>
      <c r="E30" s="30" t="s">
        <v>229</v>
      </c>
      <c r="F30" s="71">
        <v>1</v>
      </c>
      <c r="G30" s="72">
        <v>2</v>
      </c>
      <c r="H30" s="73">
        <v>3</v>
      </c>
      <c r="I30" s="74">
        <v>4</v>
      </c>
      <c r="J30" s="75">
        <v>5</v>
      </c>
      <c r="K30" s="76">
        <v>6</v>
      </c>
      <c r="L30" s="77">
        <v>7</v>
      </c>
      <c r="M30" s="78">
        <v>8</v>
      </c>
      <c r="N30" s="79">
        <v>9</v>
      </c>
      <c r="O30" s="80">
        <v>10</v>
      </c>
      <c r="P30" s="32"/>
      <c r="Q30" s="139"/>
      <c r="R30" s="334"/>
      <c r="S30" s="133">
        <f>VLOOKUP($E30,R.VL_DEQResourcesInvolved,2,FALSE)</f>
        <v>0</v>
      </c>
      <c r="T30" s="121">
        <f>VLOOKUP($E30,R.VL_DEQResourcesInvolved,3,FALSE)</f>
        <v>0</v>
      </c>
      <c r="U30" s="121">
        <f>IF(S30=10,T30,VLOOKUP($E30,R.VL_DEQResourcesInvolved,4,FALSE))</f>
        <v>0</v>
      </c>
      <c r="V30" s="64"/>
      <c r="W30" s="64"/>
      <c r="X30" s="64"/>
      <c r="Y30" s="64"/>
      <c r="Z30" s="64"/>
      <c r="AA30" s="64"/>
      <c r="AB30" s="64"/>
      <c r="AC30" s="64"/>
      <c r="AD30" s="130"/>
      <c r="AE30" s="130"/>
      <c r="AF30" s="130"/>
      <c r="AG30" s="130"/>
      <c r="AH30" s="130"/>
      <c r="AI30" s="130"/>
      <c r="AJ30" s="130"/>
      <c r="AK30" s="130"/>
      <c r="AL30" s="130"/>
      <c r="AM30" s="130"/>
      <c r="AN30" s="130"/>
      <c r="AO30" s="130"/>
      <c r="AP30" s="130"/>
      <c r="AQ30" s="130"/>
      <c r="AR30" s="130"/>
      <c r="AS30" s="130"/>
      <c r="AT30" s="130"/>
      <c r="AU30" s="130"/>
      <c r="AV30" s="130"/>
      <c r="AW30" s="130"/>
      <c r="AX30" s="130"/>
      <c r="AY30" s="130"/>
      <c r="AZ30" s="130"/>
      <c r="BA30" s="130"/>
      <c r="BB30" s="130"/>
      <c r="BC30" s="130"/>
      <c r="BD30" s="130"/>
      <c r="BE30" s="130"/>
      <c r="BF30" s="130"/>
      <c r="BG30" s="130"/>
      <c r="BH30" s="130"/>
      <c r="BI30" s="130"/>
      <c r="BJ30" s="130"/>
      <c r="BK30" s="130"/>
      <c r="BL30" s="130"/>
      <c r="BM30" s="130"/>
      <c r="BN30" s="130"/>
      <c r="BO30" s="130"/>
      <c r="BP30" s="130"/>
      <c r="BQ30" s="130"/>
    </row>
    <row r="31" spans="1:69" s="28" customFormat="1" ht="15.75" hidden="1" customHeight="1" outlineLevel="1">
      <c r="A31" s="328"/>
      <c r="B31" s="334"/>
      <c r="C31" s="138"/>
      <c r="D31" s="36"/>
      <c r="E31" s="30" t="s">
        <v>229</v>
      </c>
      <c r="F31" s="71">
        <v>1</v>
      </c>
      <c r="G31" s="72">
        <v>2</v>
      </c>
      <c r="H31" s="73">
        <v>3</v>
      </c>
      <c r="I31" s="74">
        <v>4</v>
      </c>
      <c r="J31" s="75">
        <v>5</v>
      </c>
      <c r="K31" s="76">
        <v>6</v>
      </c>
      <c r="L31" s="77">
        <v>7</v>
      </c>
      <c r="M31" s="78">
        <v>8</v>
      </c>
      <c r="N31" s="79">
        <v>9</v>
      </c>
      <c r="O31" s="80">
        <v>10</v>
      </c>
      <c r="P31" s="32"/>
      <c r="Q31" s="139"/>
      <c r="R31" s="334"/>
      <c r="S31" s="133">
        <f>VLOOKUP($E31,R.VL_DEQResourcesInvolved,2,FALSE)</f>
        <v>0</v>
      </c>
      <c r="T31" s="121">
        <f>VLOOKUP($E31,R.VL_DEQResourcesInvolved,3,FALSE)</f>
        <v>0</v>
      </c>
      <c r="U31" s="121">
        <f>IF(S31=10,T31,VLOOKUP($E31,R.VL_DEQResourcesInvolved,4,FALSE))</f>
        <v>0</v>
      </c>
      <c r="V31" s="64"/>
      <c r="W31" s="64"/>
      <c r="X31" s="64"/>
      <c r="Y31" s="64"/>
      <c r="Z31" s="64"/>
      <c r="AA31" s="64"/>
      <c r="AB31" s="64"/>
      <c r="AC31" s="64"/>
      <c r="AD31" s="130"/>
      <c r="AE31" s="130"/>
      <c r="AF31" s="130"/>
      <c r="AG31" s="130"/>
      <c r="AH31" s="130"/>
      <c r="AI31" s="130"/>
      <c r="AJ31" s="130"/>
      <c r="AK31" s="130"/>
      <c r="AL31" s="130"/>
      <c r="AM31" s="130"/>
      <c r="AN31" s="130"/>
      <c r="AO31" s="130"/>
      <c r="AP31" s="130"/>
      <c r="AQ31" s="130"/>
      <c r="AR31" s="130"/>
      <c r="AS31" s="130"/>
      <c r="AT31" s="130"/>
      <c r="AU31" s="130"/>
      <c r="AV31" s="130"/>
      <c r="AW31" s="130"/>
      <c r="AX31" s="130"/>
      <c r="AY31" s="130"/>
      <c r="AZ31" s="130"/>
      <c r="BA31" s="130"/>
      <c r="BB31" s="130"/>
      <c r="BC31" s="130"/>
      <c r="BD31" s="130"/>
      <c r="BE31" s="130"/>
      <c r="BF31" s="130"/>
      <c r="BG31" s="130"/>
      <c r="BH31" s="130"/>
      <c r="BI31" s="130"/>
      <c r="BJ31" s="130"/>
      <c r="BK31" s="130"/>
      <c r="BL31" s="130"/>
      <c r="BM31" s="130"/>
      <c r="BN31" s="130"/>
      <c r="BO31" s="130"/>
      <c r="BP31" s="130"/>
      <c r="BQ31" s="130"/>
    </row>
    <row r="32" spans="1:69" s="28" customFormat="1" ht="15.75" hidden="1" customHeight="1" outlineLevel="1">
      <c r="A32" s="328"/>
      <c r="B32" s="334"/>
      <c r="C32" s="138"/>
      <c r="D32" s="36"/>
      <c r="E32" s="30" t="s">
        <v>229</v>
      </c>
      <c r="F32" s="71">
        <v>1</v>
      </c>
      <c r="G32" s="72">
        <v>2</v>
      </c>
      <c r="H32" s="73">
        <v>3</v>
      </c>
      <c r="I32" s="74">
        <v>4</v>
      </c>
      <c r="J32" s="75">
        <v>5</v>
      </c>
      <c r="K32" s="76">
        <v>6</v>
      </c>
      <c r="L32" s="77">
        <v>7</v>
      </c>
      <c r="M32" s="78">
        <v>8</v>
      </c>
      <c r="N32" s="79">
        <v>9</v>
      </c>
      <c r="O32" s="80">
        <v>10</v>
      </c>
      <c r="P32" s="32" t="s">
        <v>0</v>
      </c>
      <c r="Q32" s="139"/>
      <c r="R32" s="334"/>
      <c r="S32" s="133">
        <f>VLOOKUP($E32,R.VL_DEQResourcesInvolved,2,FALSE)</f>
        <v>0</v>
      </c>
      <c r="T32" s="121">
        <f>VLOOKUP($E32,R.VL_DEQResourcesInvolved,3,FALSE)</f>
        <v>0</v>
      </c>
      <c r="U32" s="121">
        <f>IF(S32=10,T32,VLOOKUP($E32,R.VL_DEQResourcesInvolved,4,FALSE))</f>
        <v>0</v>
      </c>
      <c r="V32" s="64"/>
      <c r="W32" s="64"/>
      <c r="X32" s="64"/>
      <c r="Y32" s="64"/>
      <c r="Z32" s="64"/>
      <c r="AA32" s="64"/>
      <c r="AB32" s="64"/>
      <c r="AC32" s="64"/>
      <c r="AD32" s="130"/>
      <c r="AE32" s="130"/>
      <c r="AF32" s="130"/>
      <c r="AG32" s="130"/>
      <c r="AH32" s="130"/>
      <c r="AI32" s="130"/>
      <c r="AJ32" s="130"/>
      <c r="AK32" s="130"/>
      <c r="AL32" s="130"/>
      <c r="AM32" s="130"/>
      <c r="AN32" s="130"/>
      <c r="AO32" s="130"/>
      <c r="AP32" s="130"/>
      <c r="AQ32" s="130"/>
      <c r="AR32" s="130"/>
      <c r="AS32" s="130"/>
      <c r="AT32" s="130"/>
      <c r="AU32" s="130"/>
      <c r="AV32" s="130"/>
      <c r="AW32" s="130"/>
      <c r="AX32" s="130"/>
      <c r="AY32" s="130"/>
      <c r="AZ32" s="130"/>
      <c r="BA32" s="130"/>
      <c r="BB32" s="130"/>
      <c r="BC32" s="130"/>
      <c r="BD32" s="130"/>
      <c r="BE32" s="130"/>
      <c r="BF32" s="130"/>
      <c r="BG32" s="130"/>
      <c r="BH32" s="130"/>
      <c r="BI32" s="130"/>
      <c r="BJ32" s="130"/>
      <c r="BK32" s="130"/>
      <c r="BL32" s="130"/>
      <c r="BM32" s="130"/>
      <c r="BN32" s="130"/>
      <c r="BO32" s="130"/>
      <c r="BP32" s="130"/>
      <c r="BQ32" s="130"/>
    </row>
    <row r="33" spans="1:69" s="28" customFormat="1" ht="15.75" customHeight="1" collapsed="1">
      <c r="A33" s="328"/>
      <c r="B33" s="334"/>
      <c r="C33" s="142"/>
      <c r="D33" s="443" t="s">
        <v>52</v>
      </c>
      <c r="E33" s="31"/>
      <c r="F33" s="31"/>
      <c r="G33" s="31"/>
      <c r="H33" s="31"/>
      <c r="I33" s="31"/>
      <c r="J33" s="31"/>
      <c r="K33" s="31"/>
      <c r="L33" s="31"/>
      <c r="M33" s="31"/>
      <c r="N33" s="31"/>
      <c r="O33" s="31"/>
      <c r="P33" s="31"/>
      <c r="Q33" s="143"/>
      <c r="R33" s="334"/>
      <c r="S33" s="132"/>
      <c r="T33" s="131"/>
      <c r="U33" s="131"/>
      <c r="V33" s="64"/>
      <c r="W33" s="64"/>
      <c r="X33" s="64"/>
      <c r="Y33" s="64"/>
      <c r="Z33" s="64"/>
      <c r="AA33" s="64"/>
      <c r="AB33" s="64"/>
      <c r="AC33" s="64"/>
      <c r="AD33" s="130"/>
      <c r="AE33" s="130"/>
      <c r="AF33" s="130"/>
      <c r="AG33" s="130"/>
      <c r="AH33" s="130"/>
      <c r="AI33" s="130"/>
      <c r="AJ33" s="130"/>
      <c r="AK33" s="130"/>
      <c r="AL33" s="130"/>
      <c r="AM33" s="130"/>
      <c r="AN33" s="130"/>
      <c r="AO33" s="130"/>
      <c r="AP33" s="130"/>
      <c r="AQ33" s="130"/>
      <c r="AR33" s="130"/>
      <c r="AS33" s="130"/>
      <c r="AT33" s="130"/>
      <c r="AU33" s="130"/>
      <c r="AV33" s="130"/>
      <c r="AW33" s="130"/>
      <c r="AX33" s="130"/>
      <c r="AY33" s="130"/>
      <c r="AZ33" s="130"/>
      <c r="BA33" s="130"/>
      <c r="BB33" s="130"/>
      <c r="BC33" s="130"/>
      <c r="BD33" s="130"/>
      <c r="BE33" s="130"/>
      <c r="BF33" s="130"/>
      <c r="BG33" s="130"/>
      <c r="BH33" s="130"/>
      <c r="BI33" s="130"/>
      <c r="BJ33" s="130"/>
      <c r="BK33" s="130"/>
      <c r="BL33" s="130"/>
      <c r="BM33" s="130"/>
      <c r="BN33" s="130"/>
      <c r="BO33" s="130"/>
      <c r="BP33" s="130"/>
      <c r="BQ33" s="130"/>
    </row>
    <row r="34" spans="1:69" s="28" customFormat="1" ht="15.75" customHeight="1">
      <c r="A34" s="328"/>
      <c r="B34" s="334"/>
      <c r="C34" s="138"/>
      <c r="D34" s="740"/>
      <c r="E34" s="741"/>
      <c r="F34" s="741"/>
      <c r="G34" s="741"/>
      <c r="H34" s="741"/>
      <c r="I34" s="741"/>
      <c r="J34" s="741"/>
      <c r="K34" s="741"/>
      <c r="L34" s="741"/>
      <c r="M34" s="741"/>
      <c r="N34" s="741"/>
      <c r="O34" s="741"/>
      <c r="P34" s="742"/>
      <c r="Q34" s="139"/>
      <c r="R34" s="334"/>
      <c r="S34" s="132" t="s">
        <v>0</v>
      </c>
      <c r="T34" s="131"/>
      <c r="U34" s="131"/>
      <c r="V34" s="64"/>
      <c r="W34" s="64"/>
      <c r="X34" s="64"/>
      <c r="Y34" s="64"/>
      <c r="Z34" s="64"/>
      <c r="AA34" s="64"/>
      <c r="AB34" s="64"/>
      <c r="AC34" s="64"/>
      <c r="AD34" s="130"/>
      <c r="AE34" s="130"/>
      <c r="AF34" s="130"/>
      <c r="AG34" s="130"/>
      <c r="AH34" s="130"/>
      <c r="AI34" s="130"/>
      <c r="AJ34" s="130"/>
      <c r="AK34" s="130"/>
      <c r="AL34" s="130"/>
      <c r="AM34" s="130"/>
      <c r="AN34" s="130"/>
      <c r="AO34" s="130"/>
      <c r="AP34" s="130"/>
      <c r="AQ34" s="130"/>
      <c r="AR34" s="130"/>
      <c r="AS34" s="130"/>
      <c r="AT34" s="130"/>
      <c r="AU34" s="130"/>
      <c r="AV34" s="130"/>
      <c r="AW34" s="130"/>
      <c r="AX34" s="130"/>
      <c r="AY34" s="130"/>
      <c r="AZ34" s="130"/>
      <c r="BA34" s="130"/>
      <c r="BB34" s="130"/>
      <c r="BC34" s="130"/>
      <c r="BD34" s="130"/>
      <c r="BE34" s="130"/>
      <c r="BF34" s="130"/>
      <c r="BG34" s="130"/>
      <c r="BH34" s="130"/>
      <c r="BI34" s="130"/>
      <c r="BJ34" s="130"/>
      <c r="BK34" s="130"/>
      <c r="BL34" s="130"/>
      <c r="BM34" s="130"/>
      <c r="BN34" s="130"/>
      <c r="BO34" s="130"/>
      <c r="BP34" s="130"/>
      <c r="BQ34" s="130"/>
    </row>
    <row r="35" spans="1:69" s="33" customFormat="1" ht="15.75" customHeight="1">
      <c r="A35" s="327"/>
      <c r="B35" s="334"/>
      <c r="C35" s="232"/>
      <c r="D35" s="442" t="s">
        <v>60</v>
      </c>
      <c r="E35" s="159" t="s">
        <v>18</v>
      </c>
      <c r="F35" s="159" t="s">
        <v>19</v>
      </c>
      <c r="G35" s="159"/>
      <c r="H35" s="159"/>
      <c r="I35" s="159"/>
      <c r="J35" s="159"/>
      <c r="K35" s="159"/>
      <c r="L35" s="159"/>
      <c r="M35" s="159"/>
      <c r="N35" s="159"/>
      <c r="O35" s="159"/>
      <c r="P35" s="159" t="s">
        <v>20</v>
      </c>
      <c r="Q35" s="137"/>
      <c r="R35" s="334"/>
      <c r="S35" s="228"/>
      <c r="T35" s="229"/>
      <c r="U35" s="229"/>
      <c r="V35" s="230"/>
      <c r="W35" s="230"/>
      <c r="X35" s="230"/>
      <c r="Y35" s="230"/>
      <c r="Z35" s="230"/>
      <c r="AA35" s="230"/>
      <c r="AB35" s="230"/>
      <c r="AC35" s="230"/>
      <c r="AD35" s="127"/>
      <c r="AE35" s="127"/>
      <c r="AF35" s="127"/>
      <c r="AG35" s="127"/>
      <c r="AH35" s="127"/>
      <c r="AI35" s="127"/>
      <c r="AJ35" s="127"/>
      <c r="AK35" s="127"/>
      <c r="AL35" s="127"/>
      <c r="AM35" s="127"/>
      <c r="AN35" s="127"/>
      <c r="AO35" s="127"/>
      <c r="AP35" s="127"/>
      <c r="AQ35" s="127"/>
      <c r="AR35" s="127"/>
      <c r="AS35" s="127"/>
      <c r="AT35" s="127"/>
      <c r="AU35" s="127"/>
      <c r="AV35" s="127"/>
      <c r="AW35" s="127"/>
      <c r="AX35" s="127"/>
      <c r="AY35" s="127"/>
      <c r="AZ35" s="127"/>
      <c r="BA35" s="127"/>
      <c r="BB35" s="127"/>
      <c r="BC35" s="127"/>
      <c r="BD35" s="127"/>
      <c r="BE35" s="127"/>
      <c r="BF35" s="127"/>
      <c r="BG35" s="127"/>
      <c r="BH35" s="127"/>
      <c r="BI35" s="127"/>
      <c r="BJ35" s="127"/>
      <c r="BK35" s="127"/>
      <c r="BL35" s="127"/>
      <c r="BM35" s="127"/>
      <c r="BN35" s="127"/>
      <c r="BO35" s="127"/>
      <c r="BP35" s="127"/>
      <c r="BQ35" s="127"/>
    </row>
    <row r="36" spans="1:69" s="28" customFormat="1" ht="15.75" customHeight="1">
      <c r="A36" s="328"/>
      <c r="B36" s="334"/>
      <c r="C36" s="138"/>
      <c r="D36" s="36" t="s">
        <v>0</v>
      </c>
      <c r="E36" s="30" t="s">
        <v>229</v>
      </c>
      <c r="F36" s="71">
        <v>1</v>
      </c>
      <c r="G36" s="72">
        <v>2</v>
      </c>
      <c r="H36" s="73">
        <v>3</v>
      </c>
      <c r="I36" s="74">
        <v>4</v>
      </c>
      <c r="J36" s="75">
        <v>5</v>
      </c>
      <c r="K36" s="76">
        <v>6</v>
      </c>
      <c r="L36" s="77">
        <v>7</v>
      </c>
      <c r="M36" s="78">
        <v>8</v>
      </c>
      <c r="N36" s="79">
        <v>9</v>
      </c>
      <c r="O36" s="80">
        <v>10</v>
      </c>
      <c r="P36" s="32" t="s">
        <v>0</v>
      </c>
      <c r="Q36" s="139"/>
      <c r="R36" s="334"/>
      <c r="S36" s="133">
        <f>VLOOKUP($E36,R.VL_DEQResourcesInvolved,2,FALSE)</f>
        <v>0</v>
      </c>
      <c r="T36" s="121">
        <f>VLOOKUP($E36,R.VL_DEQResourcesInvolved,3,FALSE)</f>
        <v>0</v>
      </c>
      <c r="U36" s="121">
        <f>IF(S36=10,T36,VLOOKUP($E36,R.VL_DEQResourcesInvolved,4,FALSE))</f>
        <v>0</v>
      </c>
      <c r="V36" s="575" t="s">
        <v>554</v>
      </c>
      <c r="W36" s="64"/>
      <c r="X36" s="64"/>
      <c r="Y36" s="64"/>
      <c r="Z36" s="64"/>
      <c r="AA36" s="64"/>
      <c r="AB36" s="64"/>
      <c r="AC36" s="64"/>
      <c r="AD36" s="130"/>
      <c r="AE36" s="130"/>
      <c r="AF36" s="130"/>
      <c r="AG36" s="130"/>
      <c r="AH36" s="130"/>
      <c r="AI36" s="130"/>
      <c r="AJ36" s="130"/>
      <c r="AK36" s="130"/>
      <c r="AL36" s="130"/>
      <c r="AM36" s="130"/>
      <c r="AN36" s="130"/>
      <c r="AO36" s="130"/>
      <c r="AP36" s="130"/>
      <c r="AQ36" s="130"/>
      <c r="AR36" s="130"/>
      <c r="AS36" s="130"/>
      <c r="AT36" s="130"/>
      <c r="AU36" s="130"/>
      <c r="AV36" s="130"/>
      <c r="AW36" s="130"/>
      <c r="AX36" s="130"/>
      <c r="AY36" s="130"/>
      <c r="AZ36" s="130"/>
      <c r="BA36" s="130"/>
      <c r="BB36" s="130"/>
      <c r="BC36" s="130"/>
      <c r="BD36" s="130"/>
      <c r="BE36" s="130"/>
      <c r="BF36" s="130"/>
      <c r="BG36" s="130"/>
      <c r="BH36" s="130"/>
      <c r="BI36" s="130"/>
      <c r="BJ36" s="130"/>
      <c r="BK36" s="130"/>
      <c r="BL36" s="130"/>
      <c r="BM36" s="130"/>
      <c r="BN36" s="130"/>
      <c r="BO36" s="130"/>
      <c r="BP36" s="130"/>
      <c r="BQ36" s="130"/>
    </row>
    <row r="37" spans="1:69" s="28" customFormat="1" ht="15.75" hidden="1" customHeight="1" outlineLevel="1">
      <c r="A37" s="328"/>
      <c r="B37" s="334"/>
      <c r="C37" s="138"/>
      <c r="D37" s="36"/>
      <c r="E37" s="30" t="s">
        <v>229</v>
      </c>
      <c r="F37" s="71">
        <v>1</v>
      </c>
      <c r="G37" s="72">
        <v>2</v>
      </c>
      <c r="H37" s="73">
        <v>3</v>
      </c>
      <c r="I37" s="74">
        <v>4</v>
      </c>
      <c r="J37" s="75">
        <v>5</v>
      </c>
      <c r="K37" s="76">
        <v>6</v>
      </c>
      <c r="L37" s="77">
        <v>7</v>
      </c>
      <c r="M37" s="78">
        <v>8</v>
      </c>
      <c r="N37" s="79">
        <v>9</v>
      </c>
      <c r="O37" s="80">
        <v>10</v>
      </c>
      <c r="P37" s="32"/>
      <c r="Q37" s="139"/>
      <c r="R37" s="334"/>
      <c r="S37" s="133">
        <f>VLOOKUP($E37,R.VL_DEQResourcesInvolved,2,FALSE)</f>
        <v>0</v>
      </c>
      <c r="T37" s="121">
        <f>VLOOKUP($E37,R.VL_DEQResourcesInvolved,3,FALSE)</f>
        <v>0</v>
      </c>
      <c r="U37" s="121">
        <f>IF(S37=10,T37,VLOOKUP($E37,R.VL_DEQResourcesInvolved,4,FALSE))</f>
        <v>0</v>
      </c>
      <c r="V37" s="64"/>
      <c r="W37" s="64"/>
      <c r="X37" s="64"/>
      <c r="Y37" s="64"/>
      <c r="Z37" s="64"/>
      <c r="AA37" s="64"/>
      <c r="AB37" s="64"/>
      <c r="AC37" s="64"/>
      <c r="AD37" s="130"/>
      <c r="AE37" s="130"/>
      <c r="AF37" s="130"/>
      <c r="AG37" s="130"/>
      <c r="AH37" s="130"/>
      <c r="AI37" s="130"/>
      <c r="AJ37" s="130"/>
      <c r="AK37" s="130"/>
      <c r="AL37" s="130"/>
      <c r="AM37" s="130"/>
      <c r="AN37" s="130"/>
      <c r="AO37" s="130"/>
      <c r="AP37" s="130"/>
      <c r="AQ37" s="130"/>
      <c r="AR37" s="130"/>
      <c r="AS37" s="130"/>
      <c r="AT37" s="130"/>
      <c r="AU37" s="130"/>
      <c r="AV37" s="130"/>
      <c r="AW37" s="130"/>
      <c r="AX37" s="130"/>
      <c r="AY37" s="130"/>
      <c r="AZ37" s="130"/>
      <c r="BA37" s="130"/>
      <c r="BB37" s="130"/>
      <c r="BC37" s="130"/>
      <c r="BD37" s="130"/>
      <c r="BE37" s="130"/>
      <c r="BF37" s="130"/>
      <c r="BG37" s="130"/>
      <c r="BH37" s="130"/>
      <c r="BI37" s="130"/>
      <c r="BJ37" s="130"/>
      <c r="BK37" s="130"/>
      <c r="BL37" s="130"/>
      <c r="BM37" s="130"/>
      <c r="BN37" s="130"/>
      <c r="BO37" s="130"/>
      <c r="BP37" s="130"/>
      <c r="BQ37" s="130"/>
    </row>
    <row r="38" spans="1:69" s="28" customFormat="1" ht="15.75" hidden="1" customHeight="1" outlineLevel="1">
      <c r="A38" s="328"/>
      <c r="B38" s="334"/>
      <c r="C38" s="138"/>
      <c r="D38" s="36"/>
      <c r="E38" s="30" t="s">
        <v>229</v>
      </c>
      <c r="F38" s="71">
        <v>1</v>
      </c>
      <c r="G38" s="72">
        <v>2</v>
      </c>
      <c r="H38" s="73">
        <v>3</v>
      </c>
      <c r="I38" s="74">
        <v>4</v>
      </c>
      <c r="J38" s="75">
        <v>5</v>
      </c>
      <c r="K38" s="76">
        <v>6</v>
      </c>
      <c r="L38" s="77">
        <v>7</v>
      </c>
      <c r="M38" s="78">
        <v>8</v>
      </c>
      <c r="N38" s="79">
        <v>9</v>
      </c>
      <c r="O38" s="80">
        <v>10</v>
      </c>
      <c r="P38" s="32"/>
      <c r="Q38" s="139"/>
      <c r="R38" s="334"/>
      <c r="S38" s="133">
        <f>VLOOKUP($E38,R.VL_DEQResourcesInvolved,2,FALSE)</f>
        <v>0</v>
      </c>
      <c r="T38" s="121">
        <f>VLOOKUP($E38,R.VL_DEQResourcesInvolved,3,FALSE)</f>
        <v>0</v>
      </c>
      <c r="U38" s="121">
        <f>IF(S38=10,T38,VLOOKUP($E38,R.VL_DEQResourcesInvolved,4,FALSE))</f>
        <v>0</v>
      </c>
      <c r="V38" s="64"/>
      <c r="W38" s="64"/>
      <c r="X38" s="64"/>
      <c r="Y38" s="64"/>
      <c r="Z38" s="64"/>
      <c r="AA38" s="64"/>
      <c r="AB38" s="64"/>
      <c r="AC38" s="64"/>
      <c r="AD38" s="130"/>
      <c r="AE38" s="130"/>
      <c r="AF38" s="130"/>
      <c r="AG38" s="130"/>
      <c r="AH38" s="130"/>
      <c r="AI38" s="130"/>
      <c r="AJ38" s="130"/>
      <c r="AK38" s="130"/>
      <c r="AL38" s="130"/>
      <c r="AM38" s="130"/>
      <c r="AN38" s="130"/>
      <c r="AO38" s="130"/>
      <c r="AP38" s="130"/>
      <c r="AQ38" s="130"/>
      <c r="AR38" s="130"/>
      <c r="AS38" s="130"/>
      <c r="AT38" s="130"/>
      <c r="AU38" s="130"/>
      <c r="AV38" s="130"/>
      <c r="AW38" s="130"/>
      <c r="AX38" s="130"/>
      <c r="AY38" s="130"/>
      <c r="AZ38" s="130"/>
      <c r="BA38" s="130"/>
      <c r="BB38" s="130"/>
      <c r="BC38" s="130"/>
      <c r="BD38" s="130"/>
      <c r="BE38" s="130"/>
      <c r="BF38" s="130"/>
      <c r="BG38" s="130"/>
      <c r="BH38" s="130"/>
      <c r="BI38" s="130"/>
      <c r="BJ38" s="130"/>
      <c r="BK38" s="130"/>
      <c r="BL38" s="130"/>
      <c r="BM38" s="130"/>
      <c r="BN38" s="130"/>
      <c r="BO38" s="130"/>
      <c r="BP38" s="130"/>
      <c r="BQ38" s="130"/>
    </row>
    <row r="39" spans="1:69" s="28" customFormat="1" ht="15.75" hidden="1" customHeight="1" outlineLevel="1">
      <c r="A39" s="328"/>
      <c r="B39" s="334"/>
      <c r="C39" s="138"/>
      <c r="D39" s="36"/>
      <c r="E39" s="30" t="s">
        <v>229</v>
      </c>
      <c r="F39" s="71">
        <v>1</v>
      </c>
      <c r="G39" s="72">
        <v>2</v>
      </c>
      <c r="H39" s="73">
        <v>3</v>
      </c>
      <c r="I39" s="74">
        <v>4</v>
      </c>
      <c r="J39" s="75">
        <v>5</v>
      </c>
      <c r="K39" s="76">
        <v>6</v>
      </c>
      <c r="L39" s="77">
        <v>7</v>
      </c>
      <c r="M39" s="78">
        <v>8</v>
      </c>
      <c r="N39" s="79">
        <v>9</v>
      </c>
      <c r="O39" s="80">
        <v>10</v>
      </c>
      <c r="P39" s="32"/>
      <c r="Q39" s="139"/>
      <c r="R39" s="334"/>
      <c r="S39" s="133">
        <f>VLOOKUP($E39,R.VL_DEQResourcesInvolved,2,FALSE)</f>
        <v>0</v>
      </c>
      <c r="T39" s="121">
        <f>VLOOKUP($E39,R.VL_DEQResourcesInvolved,3,FALSE)</f>
        <v>0</v>
      </c>
      <c r="U39" s="121">
        <f>IF(S39=10,T39,VLOOKUP($E39,R.VL_DEQResourcesInvolved,4,FALSE))</f>
        <v>0</v>
      </c>
      <c r="V39" s="64"/>
      <c r="W39" s="64"/>
      <c r="X39" s="64"/>
      <c r="Y39" s="64"/>
      <c r="Z39" s="64"/>
      <c r="AA39" s="64"/>
      <c r="AB39" s="64"/>
      <c r="AC39" s="64"/>
      <c r="AD39" s="130"/>
      <c r="AE39" s="130"/>
      <c r="AF39" s="130"/>
      <c r="AG39" s="130"/>
      <c r="AH39" s="130"/>
      <c r="AI39" s="130"/>
      <c r="AJ39" s="130"/>
      <c r="AK39" s="130"/>
      <c r="AL39" s="130"/>
      <c r="AM39" s="130"/>
      <c r="AN39" s="130"/>
      <c r="AO39" s="130"/>
      <c r="AP39" s="130"/>
      <c r="AQ39" s="130"/>
      <c r="AR39" s="130"/>
      <c r="AS39" s="130"/>
      <c r="AT39" s="130"/>
      <c r="AU39" s="130"/>
      <c r="AV39" s="130"/>
      <c r="AW39" s="130"/>
      <c r="AX39" s="130"/>
      <c r="AY39" s="130"/>
      <c r="AZ39" s="130"/>
      <c r="BA39" s="130"/>
      <c r="BB39" s="130"/>
      <c r="BC39" s="130"/>
      <c r="BD39" s="130"/>
      <c r="BE39" s="130"/>
      <c r="BF39" s="130"/>
      <c r="BG39" s="130"/>
      <c r="BH39" s="130"/>
      <c r="BI39" s="130"/>
      <c r="BJ39" s="130"/>
      <c r="BK39" s="130"/>
      <c r="BL39" s="130"/>
      <c r="BM39" s="130"/>
      <c r="BN39" s="130"/>
      <c r="BO39" s="130"/>
      <c r="BP39" s="130"/>
      <c r="BQ39" s="130"/>
    </row>
    <row r="40" spans="1:69" s="28" customFormat="1" ht="14.25" customHeight="1" collapsed="1">
      <c r="A40" s="328"/>
      <c r="B40" s="334"/>
      <c r="C40" s="376"/>
      <c r="D40" s="481"/>
      <c r="E40" s="739"/>
      <c r="F40" s="739"/>
      <c r="G40" s="739"/>
      <c r="H40" s="739"/>
      <c r="I40" s="739"/>
      <c r="J40" s="739"/>
      <c r="K40" s="739"/>
      <c r="L40" s="739"/>
      <c r="M40" s="739"/>
      <c r="N40" s="739"/>
      <c r="O40" s="739"/>
      <c r="P40" s="739"/>
      <c r="Q40" s="379"/>
      <c r="R40" s="334"/>
      <c r="S40" s="132"/>
      <c r="T40" s="131"/>
      <c r="U40" s="131"/>
      <c r="V40" s="64"/>
      <c r="W40" s="64"/>
      <c r="X40" s="64"/>
      <c r="Y40" s="64"/>
      <c r="Z40" s="64"/>
      <c r="AA40" s="64"/>
      <c r="AB40" s="64"/>
      <c r="AC40" s="64"/>
      <c r="AD40" s="130"/>
      <c r="AE40" s="130"/>
      <c r="AF40" s="130"/>
      <c r="AG40" s="130"/>
      <c r="AH40" s="130"/>
      <c r="AI40" s="130"/>
      <c r="AJ40" s="130"/>
      <c r="AK40" s="130"/>
      <c r="AL40" s="130"/>
      <c r="AM40" s="130"/>
      <c r="AN40" s="130"/>
      <c r="AO40" s="130"/>
      <c r="AP40" s="130"/>
      <c r="AQ40" s="130"/>
      <c r="AR40" s="130"/>
      <c r="AS40" s="130"/>
      <c r="AT40" s="130"/>
      <c r="AU40" s="130"/>
      <c r="AV40" s="130"/>
      <c r="AW40" s="130"/>
      <c r="AX40" s="130"/>
      <c r="AY40" s="130"/>
      <c r="AZ40" s="130"/>
      <c r="BA40" s="130"/>
      <c r="BB40" s="130"/>
      <c r="BC40" s="130"/>
      <c r="BD40" s="130"/>
      <c r="BE40" s="130"/>
      <c r="BF40" s="130"/>
      <c r="BG40" s="130"/>
      <c r="BH40" s="130"/>
      <c r="BI40" s="130"/>
      <c r="BJ40" s="130"/>
      <c r="BK40" s="130"/>
      <c r="BL40" s="130"/>
      <c r="BM40" s="130"/>
      <c r="BN40" s="130"/>
      <c r="BO40" s="130"/>
      <c r="BP40" s="130"/>
      <c r="BQ40" s="130"/>
    </row>
    <row r="41" spans="1:69" s="33" customFormat="1" ht="30" customHeight="1">
      <c r="A41" s="350" t="s">
        <v>107</v>
      </c>
      <c r="B41" s="334"/>
      <c r="C41" s="480" t="s">
        <v>0</v>
      </c>
      <c r="D41" s="304" t="s">
        <v>149</v>
      </c>
      <c r="E41" s="94"/>
      <c r="F41" s="94"/>
      <c r="G41" s="94"/>
      <c r="H41" s="94"/>
      <c r="I41" s="94"/>
      <c r="J41" s="94"/>
      <c r="K41" s="94"/>
      <c r="L41" s="94"/>
      <c r="M41" s="94"/>
      <c r="N41" s="94"/>
      <c r="O41" s="94"/>
      <c r="P41" s="94"/>
      <c r="Q41" s="137"/>
      <c r="R41" s="334"/>
      <c r="S41" s="302"/>
      <c r="T41" s="302" t="s">
        <v>0</v>
      </c>
      <c r="U41" s="302"/>
      <c r="V41" s="129"/>
      <c r="W41" s="129"/>
      <c r="X41" s="129"/>
      <c r="Y41" s="129"/>
      <c r="Z41" s="129"/>
      <c r="AA41" s="129"/>
      <c r="AB41" s="129"/>
      <c r="AC41" s="129"/>
      <c r="AD41" s="127"/>
      <c r="AE41" s="127"/>
      <c r="AF41" s="127"/>
      <c r="AG41" s="127"/>
      <c r="AH41" s="127"/>
      <c r="AI41" s="127"/>
      <c r="AJ41" s="127"/>
      <c r="AK41" s="127"/>
      <c r="AL41" s="127"/>
      <c r="AM41" s="127"/>
      <c r="AN41" s="127"/>
      <c r="AO41" s="127"/>
      <c r="AP41" s="127"/>
      <c r="AQ41" s="127"/>
      <c r="AR41" s="127"/>
      <c r="AS41" s="127"/>
      <c r="AT41" s="127"/>
      <c r="AU41" s="127"/>
      <c r="AV41" s="127"/>
      <c r="AW41" s="127"/>
      <c r="AX41" s="127"/>
      <c r="AY41" s="127"/>
      <c r="AZ41" s="127"/>
      <c r="BA41" s="127"/>
      <c r="BB41" s="127"/>
      <c r="BC41" s="127"/>
      <c r="BD41" s="127"/>
      <c r="BE41" s="127"/>
      <c r="BF41" s="127"/>
      <c r="BG41" s="127"/>
      <c r="BH41" s="127"/>
      <c r="BI41" s="127"/>
      <c r="BJ41" s="127"/>
      <c r="BK41" s="127"/>
      <c r="BL41" s="127"/>
      <c r="BM41" s="127"/>
      <c r="BN41" s="127"/>
      <c r="BO41" s="127"/>
      <c r="BP41" s="127"/>
      <c r="BQ41" s="127"/>
    </row>
    <row r="42" spans="1:69" s="33" customFormat="1" ht="14.25" customHeight="1">
      <c r="A42" s="327"/>
      <c r="B42" s="334"/>
      <c r="C42" s="232"/>
      <c r="D42" s="443" t="s">
        <v>53</v>
      </c>
      <c r="E42" s="94"/>
      <c r="F42" s="94"/>
      <c r="G42" s="94"/>
      <c r="H42" s="94"/>
      <c r="I42" s="94"/>
      <c r="J42" s="94"/>
      <c r="K42" s="94"/>
      <c r="L42" s="94"/>
      <c r="M42" s="94"/>
      <c r="N42" s="94"/>
      <c r="O42" s="94"/>
      <c r="P42" s="94"/>
      <c r="Q42" s="137"/>
      <c r="R42" s="334"/>
      <c r="S42" s="302"/>
      <c r="T42" s="302"/>
      <c r="U42" s="302"/>
      <c r="V42" s="230"/>
      <c r="W42" s="230"/>
      <c r="X42" s="230"/>
      <c r="Y42" s="230"/>
      <c r="Z42" s="230"/>
      <c r="AA42" s="230"/>
      <c r="AB42" s="230"/>
      <c r="AC42" s="230"/>
      <c r="AD42" s="127"/>
      <c r="AE42" s="127"/>
      <c r="AF42" s="127"/>
      <c r="AG42" s="127"/>
      <c r="AH42" s="127"/>
      <c r="AI42" s="127"/>
      <c r="AJ42" s="127"/>
      <c r="AK42" s="127"/>
      <c r="AL42" s="127"/>
      <c r="AM42" s="127"/>
      <c r="AN42" s="127"/>
      <c r="AO42" s="127"/>
      <c r="AP42" s="127"/>
      <c r="AQ42" s="127"/>
      <c r="AR42" s="127"/>
      <c r="AS42" s="127"/>
      <c r="AT42" s="127"/>
      <c r="AU42" s="127"/>
      <c r="AV42" s="127"/>
      <c r="AW42" s="127"/>
      <c r="AX42" s="127"/>
      <c r="AY42" s="127"/>
      <c r="AZ42" s="127"/>
      <c r="BA42" s="127"/>
      <c r="BB42" s="127"/>
      <c r="BC42" s="127"/>
      <c r="BD42" s="127"/>
      <c r="BE42" s="127"/>
      <c r="BF42" s="127"/>
      <c r="BG42" s="127"/>
      <c r="BH42" s="127"/>
      <c r="BI42" s="127"/>
      <c r="BJ42" s="127"/>
      <c r="BK42" s="127"/>
      <c r="BL42" s="127"/>
      <c r="BM42" s="127"/>
      <c r="BN42" s="127"/>
      <c r="BO42" s="127"/>
      <c r="BP42" s="127"/>
      <c r="BQ42" s="127"/>
    </row>
    <row r="43" spans="1:69" s="28" customFormat="1" ht="15.75" customHeight="1">
      <c r="A43" s="328"/>
      <c r="B43" s="334"/>
      <c r="C43" s="138"/>
      <c r="D43" s="688" t="s">
        <v>0</v>
      </c>
      <c r="E43" s="689"/>
      <c r="F43" s="689"/>
      <c r="G43" s="689"/>
      <c r="H43" s="689"/>
      <c r="I43" s="689"/>
      <c r="J43" s="689"/>
      <c r="K43" s="689"/>
      <c r="L43" s="689"/>
      <c r="M43" s="689"/>
      <c r="N43" s="689"/>
      <c r="O43" s="689"/>
      <c r="P43" s="690"/>
      <c r="Q43" s="139"/>
      <c r="R43" s="334"/>
      <c r="S43" s="131" t="s">
        <v>0</v>
      </c>
      <c r="T43" s="130"/>
      <c r="U43" s="130"/>
      <c r="V43" s="64"/>
      <c r="W43" s="64"/>
      <c r="X43" s="64"/>
      <c r="Y43" s="64"/>
      <c r="Z43" s="64"/>
      <c r="AA43" s="64"/>
      <c r="AB43" s="64"/>
      <c r="AC43" s="64"/>
      <c r="AD43" s="130"/>
      <c r="AE43" s="130"/>
      <c r="AF43" s="130"/>
      <c r="AG43" s="130"/>
      <c r="AH43" s="130"/>
      <c r="AI43" s="130"/>
      <c r="AJ43" s="130"/>
      <c r="AK43" s="130"/>
      <c r="AL43" s="130"/>
      <c r="AM43" s="130"/>
      <c r="AN43" s="130"/>
      <c r="AO43" s="130"/>
      <c r="AP43" s="130"/>
      <c r="AQ43" s="130"/>
      <c r="AR43" s="130"/>
      <c r="AS43" s="130"/>
      <c r="AT43" s="130"/>
      <c r="AU43" s="130"/>
      <c r="AV43" s="130"/>
      <c r="AW43" s="130"/>
      <c r="AX43" s="130"/>
      <c r="AY43" s="130"/>
      <c r="AZ43" s="130"/>
      <c r="BA43" s="130"/>
      <c r="BB43" s="130"/>
      <c r="BC43" s="130"/>
      <c r="BD43" s="130"/>
      <c r="BE43" s="130"/>
      <c r="BF43" s="130"/>
      <c r="BG43" s="130"/>
      <c r="BH43" s="130"/>
      <c r="BI43" s="130"/>
      <c r="BJ43" s="130"/>
      <c r="BK43" s="130"/>
      <c r="BL43" s="130"/>
      <c r="BM43" s="130"/>
      <c r="BN43" s="130"/>
      <c r="BO43" s="130"/>
      <c r="BP43" s="130"/>
      <c r="BQ43" s="130"/>
    </row>
    <row r="44" spans="1:69" s="33" customFormat="1" ht="15.75" customHeight="1">
      <c r="A44" s="327"/>
      <c r="B44" s="334"/>
      <c r="C44" s="233"/>
      <c r="D44" s="497" t="s">
        <v>60</v>
      </c>
      <c r="E44" s="393" t="s">
        <v>18</v>
      </c>
      <c r="F44" s="733" t="s">
        <v>19</v>
      </c>
      <c r="G44" s="733"/>
      <c r="H44" s="733"/>
      <c r="I44" s="733"/>
      <c r="J44" s="733"/>
      <c r="K44" s="733"/>
      <c r="L44" s="733"/>
      <c r="M44" s="733"/>
      <c r="N44" s="733"/>
      <c r="O44" s="733"/>
      <c r="P44" s="393" t="s">
        <v>20</v>
      </c>
      <c r="Q44" s="137"/>
      <c r="R44" s="334"/>
      <c r="S44" s="228"/>
      <c r="T44" s="229"/>
      <c r="U44" s="229"/>
      <c r="V44" s="230"/>
      <c r="W44" s="230"/>
      <c r="X44" s="230"/>
      <c r="Y44" s="230"/>
      <c r="Z44" s="230"/>
      <c r="AA44" s="230"/>
      <c r="AB44" s="230"/>
      <c r="AC44" s="230"/>
      <c r="AD44" s="127"/>
      <c r="AE44" s="127"/>
      <c r="AF44" s="127"/>
      <c r="AG44" s="127"/>
      <c r="AH44" s="127"/>
      <c r="AI44" s="127"/>
      <c r="AJ44" s="127"/>
      <c r="AK44" s="127"/>
      <c r="AL44" s="127"/>
      <c r="AM44" s="127"/>
      <c r="AN44" s="127"/>
      <c r="AO44" s="127"/>
      <c r="AP44" s="127"/>
      <c r="AQ44" s="127"/>
      <c r="AR44" s="127"/>
      <c r="AS44" s="127"/>
      <c r="AT44" s="127"/>
      <c r="AU44" s="127"/>
      <c r="AV44" s="127"/>
      <c r="AW44" s="127"/>
      <c r="AX44" s="127"/>
      <c r="AY44" s="127"/>
      <c r="AZ44" s="127"/>
      <c r="BA44" s="127"/>
      <c r="BB44" s="127"/>
      <c r="BC44" s="127"/>
      <c r="BD44" s="127"/>
      <c r="BE44" s="127"/>
      <c r="BF44" s="127"/>
      <c r="BG44" s="127"/>
      <c r="BH44" s="127"/>
      <c r="BI44" s="127"/>
      <c r="BJ44" s="127"/>
      <c r="BK44" s="127"/>
      <c r="BL44" s="127"/>
      <c r="BM44" s="127"/>
      <c r="BN44" s="127"/>
      <c r="BO44" s="127"/>
      <c r="BP44" s="127"/>
      <c r="BQ44" s="127"/>
    </row>
    <row r="45" spans="1:69" s="28" customFormat="1" ht="15.75" customHeight="1">
      <c r="A45" s="328"/>
      <c r="B45" s="334"/>
      <c r="C45" s="138"/>
      <c r="D45" s="36" t="s">
        <v>606</v>
      </c>
      <c r="E45" s="30" t="s">
        <v>231</v>
      </c>
      <c r="F45" s="71">
        <v>1</v>
      </c>
      <c r="G45" s="72">
        <v>2</v>
      </c>
      <c r="H45" s="73">
        <v>3</v>
      </c>
      <c r="I45" s="74">
        <v>4</v>
      </c>
      <c r="J45" s="75">
        <v>5</v>
      </c>
      <c r="K45" s="76">
        <v>6</v>
      </c>
      <c r="L45" s="77">
        <v>7</v>
      </c>
      <c r="M45" s="78">
        <v>8</v>
      </c>
      <c r="N45" s="79">
        <v>9</v>
      </c>
      <c r="O45" s="80">
        <v>10</v>
      </c>
      <c r="P45" s="32" t="s">
        <v>17</v>
      </c>
      <c r="Q45" s="139"/>
      <c r="R45" s="334"/>
      <c r="S45" s="133">
        <f>VLOOKUP($E45,R.VL_DEQResourcesInvolved,2,FALSE)</f>
        <v>1</v>
      </c>
      <c r="T45" s="121">
        <f>VLOOKUP($E45,R.VL_DEQResourcesInvolved,3,FALSE)</f>
        <v>1</v>
      </c>
      <c r="U45" s="121">
        <f>IF(S45=10,T45,VLOOKUP($E45,R.VL_DEQResourcesInvolved,4,FALSE))</f>
        <v>8</v>
      </c>
      <c r="V45" s="575" t="s">
        <v>554</v>
      </c>
      <c r="W45" s="64"/>
      <c r="X45" s="64"/>
      <c r="Y45" s="64"/>
      <c r="Z45" s="64"/>
      <c r="AA45" s="64"/>
      <c r="AB45" s="64"/>
      <c r="AC45" s="64"/>
      <c r="AD45" s="130"/>
      <c r="AE45" s="130"/>
      <c r="AF45" s="130"/>
      <c r="AG45" s="130"/>
      <c r="AH45" s="130"/>
      <c r="AI45" s="130"/>
      <c r="AJ45" s="130"/>
      <c r="AK45" s="130"/>
      <c r="AL45" s="130"/>
      <c r="AM45" s="130"/>
      <c r="AN45" s="130"/>
      <c r="AO45" s="130"/>
      <c r="AP45" s="130"/>
      <c r="AQ45" s="130"/>
      <c r="AR45" s="130"/>
      <c r="AS45" s="130"/>
      <c r="AT45" s="130"/>
      <c r="AU45" s="130"/>
      <c r="AV45" s="130"/>
      <c r="AW45" s="130"/>
      <c r="AX45" s="130"/>
      <c r="AY45" s="130"/>
      <c r="AZ45" s="130"/>
      <c r="BA45" s="130"/>
      <c r="BB45" s="130"/>
      <c r="BC45" s="130"/>
      <c r="BD45" s="130"/>
      <c r="BE45" s="130"/>
      <c r="BF45" s="130"/>
      <c r="BG45" s="130"/>
      <c r="BH45" s="130"/>
      <c r="BI45" s="130"/>
      <c r="BJ45" s="130"/>
      <c r="BK45" s="130"/>
      <c r="BL45" s="130"/>
      <c r="BM45" s="130"/>
      <c r="BN45" s="130"/>
      <c r="BO45" s="130"/>
      <c r="BP45" s="130"/>
      <c r="BQ45" s="130"/>
    </row>
    <row r="46" spans="1:69" s="28" customFormat="1" ht="15.75" hidden="1" customHeight="1" outlineLevel="1">
      <c r="A46" s="328"/>
      <c r="B46" s="334"/>
      <c r="C46" s="138"/>
      <c r="D46" s="36" t="s">
        <v>0</v>
      </c>
      <c r="E46" s="30" t="s">
        <v>229</v>
      </c>
      <c r="F46" s="71">
        <v>1</v>
      </c>
      <c r="G46" s="72">
        <v>2</v>
      </c>
      <c r="H46" s="73">
        <v>3</v>
      </c>
      <c r="I46" s="74">
        <v>4</v>
      </c>
      <c r="J46" s="75">
        <v>5</v>
      </c>
      <c r="K46" s="76">
        <v>6</v>
      </c>
      <c r="L46" s="77">
        <v>7</v>
      </c>
      <c r="M46" s="78">
        <v>8</v>
      </c>
      <c r="N46" s="79">
        <v>9</v>
      </c>
      <c r="O46" s="80">
        <v>10</v>
      </c>
      <c r="P46" s="32" t="s">
        <v>0</v>
      </c>
      <c r="Q46" s="139"/>
      <c r="R46" s="334"/>
      <c r="S46" s="133">
        <f>VLOOKUP($E46,R.VL_DEQResourcesInvolved,2,FALSE)</f>
        <v>0</v>
      </c>
      <c r="T46" s="121">
        <f>VLOOKUP($E46,R.VL_DEQResourcesInvolved,3,FALSE)</f>
        <v>0</v>
      </c>
      <c r="U46" s="121">
        <f>IF(S46=10,T46,VLOOKUP($E46,R.VL_DEQResourcesInvolved,4,FALSE))</f>
        <v>0</v>
      </c>
      <c r="V46" s="64"/>
      <c r="W46" s="64"/>
      <c r="X46" s="64"/>
      <c r="Y46" s="64"/>
      <c r="Z46" s="64"/>
      <c r="AA46" s="64"/>
      <c r="AB46" s="64"/>
      <c r="AC46" s="64"/>
      <c r="AD46" s="130"/>
      <c r="AE46" s="130"/>
      <c r="AF46" s="130"/>
      <c r="AG46" s="130"/>
      <c r="AH46" s="130"/>
      <c r="AI46" s="130"/>
      <c r="AJ46" s="130"/>
      <c r="AK46" s="130"/>
      <c r="AL46" s="130"/>
      <c r="AM46" s="130"/>
      <c r="AN46" s="130"/>
      <c r="AO46" s="130"/>
      <c r="AP46" s="130"/>
      <c r="AQ46" s="130"/>
      <c r="AR46" s="130"/>
      <c r="AS46" s="130"/>
      <c r="AT46" s="130"/>
      <c r="AU46" s="130"/>
      <c r="AV46" s="130"/>
      <c r="AW46" s="130"/>
      <c r="AX46" s="130"/>
      <c r="AY46" s="130"/>
      <c r="AZ46" s="130"/>
      <c r="BA46" s="130"/>
      <c r="BB46" s="130"/>
      <c r="BC46" s="130"/>
      <c r="BD46" s="130"/>
      <c r="BE46" s="130"/>
      <c r="BF46" s="130"/>
      <c r="BG46" s="130"/>
      <c r="BH46" s="130"/>
      <c r="BI46" s="130"/>
      <c r="BJ46" s="130"/>
      <c r="BK46" s="130"/>
      <c r="BL46" s="130"/>
      <c r="BM46" s="130"/>
      <c r="BN46" s="130"/>
      <c r="BO46" s="130"/>
      <c r="BP46" s="130"/>
      <c r="BQ46" s="130"/>
    </row>
    <row r="47" spans="1:69" s="28" customFormat="1" ht="15.75" hidden="1" customHeight="1" outlineLevel="1">
      <c r="A47" s="328"/>
      <c r="B47" s="334"/>
      <c r="C47" s="138"/>
      <c r="D47" s="36" t="s">
        <v>0</v>
      </c>
      <c r="E47" s="30" t="s">
        <v>229</v>
      </c>
      <c r="F47" s="71">
        <v>1</v>
      </c>
      <c r="G47" s="72">
        <v>2</v>
      </c>
      <c r="H47" s="73">
        <v>3</v>
      </c>
      <c r="I47" s="74">
        <v>4</v>
      </c>
      <c r="J47" s="75">
        <v>5</v>
      </c>
      <c r="K47" s="76">
        <v>6</v>
      </c>
      <c r="L47" s="77">
        <v>7</v>
      </c>
      <c r="M47" s="78">
        <v>8</v>
      </c>
      <c r="N47" s="79">
        <v>9</v>
      </c>
      <c r="O47" s="80">
        <v>10</v>
      </c>
      <c r="P47" s="32" t="s">
        <v>0</v>
      </c>
      <c r="Q47" s="139"/>
      <c r="R47" s="334"/>
      <c r="S47" s="133">
        <f>VLOOKUP($E47,R.VL_DEQResourcesInvolved,2,FALSE)</f>
        <v>0</v>
      </c>
      <c r="T47" s="121">
        <f>VLOOKUP($E47,R.VL_DEQResourcesInvolved,3,FALSE)</f>
        <v>0</v>
      </c>
      <c r="U47" s="121">
        <f>IF(S47=10,T47,VLOOKUP($E47,R.VL_DEQResourcesInvolved,4,FALSE))</f>
        <v>0</v>
      </c>
      <c r="V47" s="64"/>
      <c r="W47" s="64"/>
      <c r="X47" s="64"/>
      <c r="Y47" s="64"/>
      <c r="Z47" s="64"/>
      <c r="AA47" s="64"/>
      <c r="AB47" s="64"/>
      <c r="AC47" s="64"/>
      <c r="AD47" s="130"/>
      <c r="AE47" s="130"/>
      <c r="AF47" s="130"/>
      <c r="AG47" s="130"/>
      <c r="AH47" s="130"/>
      <c r="AI47" s="130"/>
      <c r="AJ47" s="130"/>
      <c r="AK47" s="130"/>
      <c r="AL47" s="130"/>
      <c r="AM47" s="130"/>
      <c r="AN47" s="130"/>
      <c r="AO47" s="130"/>
      <c r="AP47" s="130"/>
      <c r="AQ47" s="130"/>
      <c r="AR47" s="130"/>
      <c r="AS47" s="130"/>
      <c r="AT47" s="130"/>
      <c r="AU47" s="130"/>
      <c r="AV47" s="130"/>
      <c r="AW47" s="130"/>
      <c r="AX47" s="130"/>
      <c r="AY47" s="130"/>
      <c r="AZ47" s="130"/>
      <c r="BA47" s="130"/>
      <c r="BB47" s="130"/>
      <c r="BC47" s="130"/>
      <c r="BD47" s="130"/>
      <c r="BE47" s="130"/>
      <c r="BF47" s="130"/>
      <c r="BG47" s="130"/>
      <c r="BH47" s="130"/>
      <c r="BI47" s="130"/>
      <c r="BJ47" s="130"/>
      <c r="BK47" s="130"/>
      <c r="BL47" s="130"/>
      <c r="BM47" s="130"/>
      <c r="BN47" s="130"/>
      <c r="BO47" s="130"/>
      <c r="BP47" s="130"/>
      <c r="BQ47" s="130"/>
    </row>
    <row r="48" spans="1:69" s="28" customFormat="1" ht="15.75" hidden="1" customHeight="1" outlineLevel="1">
      <c r="A48" s="328"/>
      <c r="B48" s="334"/>
      <c r="C48" s="138"/>
      <c r="D48" s="36" t="s">
        <v>0</v>
      </c>
      <c r="E48" s="30" t="s">
        <v>229</v>
      </c>
      <c r="F48" s="71">
        <v>1</v>
      </c>
      <c r="G48" s="72">
        <v>2</v>
      </c>
      <c r="H48" s="73">
        <v>3</v>
      </c>
      <c r="I48" s="74">
        <v>4</v>
      </c>
      <c r="J48" s="75">
        <v>5</v>
      </c>
      <c r="K48" s="76">
        <v>6</v>
      </c>
      <c r="L48" s="77">
        <v>7</v>
      </c>
      <c r="M48" s="78">
        <v>8</v>
      </c>
      <c r="N48" s="79">
        <v>9</v>
      </c>
      <c r="O48" s="80">
        <v>10</v>
      </c>
      <c r="P48" s="32" t="s">
        <v>0</v>
      </c>
      <c r="Q48" s="139"/>
      <c r="R48" s="334"/>
      <c r="S48" s="133">
        <f>VLOOKUP($E48,R.VL_DEQResourcesInvolved,2,FALSE)</f>
        <v>0</v>
      </c>
      <c r="T48" s="121">
        <f>VLOOKUP($E48,R.VL_DEQResourcesInvolved,3,FALSE)</f>
        <v>0</v>
      </c>
      <c r="U48" s="121">
        <f>IF(S48=10,T48,VLOOKUP($E48,R.VL_DEQResourcesInvolved,4,FALSE))</f>
        <v>0</v>
      </c>
      <c r="V48" s="64"/>
      <c r="W48" s="64"/>
      <c r="X48" s="64"/>
      <c r="Y48" s="64"/>
      <c r="Z48" s="64"/>
      <c r="AA48" s="64"/>
      <c r="AB48" s="64"/>
      <c r="AC48" s="64"/>
      <c r="AD48" s="130"/>
      <c r="AE48" s="130"/>
      <c r="AF48" s="130"/>
      <c r="AG48" s="130"/>
      <c r="AH48" s="130"/>
      <c r="AI48" s="130"/>
      <c r="AJ48" s="130"/>
      <c r="AK48" s="130"/>
      <c r="AL48" s="130"/>
      <c r="AM48" s="130"/>
      <c r="AN48" s="130"/>
      <c r="AO48" s="130"/>
      <c r="AP48" s="130"/>
      <c r="AQ48" s="130"/>
      <c r="AR48" s="130"/>
      <c r="AS48" s="130"/>
      <c r="AT48" s="130"/>
      <c r="AU48" s="130"/>
      <c r="AV48" s="130"/>
      <c r="AW48" s="130"/>
      <c r="AX48" s="130"/>
      <c r="AY48" s="130"/>
      <c r="AZ48" s="130"/>
      <c r="BA48" s="130"/>
      <c r="BB48" s="130"/>
      <c r="BC48" s="130"/>
      <c r="BD48" s="130"/>
      <c r="BE48" s="130"/>
      <c r="BF48" s="130"/>
      <c r="BG48" s="130"/>
      <c r="BH48" s="130"/>
      <c r="BI48" s="130"/>
      <c r="BJ48" s="130"/>
      <c r="BK48" s="130"/>
      <c r="BL48" s="130"/>
      <c r="BM48" s="130"/>
      <c r="BN48" s="130"/>
      <c r="BO48" s="130"/>
      <c r="BP48" s="130"/>
      <c r="BQ48" s="130"/>
    </row>
    <row r="49" spans="1:69" s="28" customFormat="1" ht="15.75" customHeight="1" collapsed="1">
      <c r="A49" s="328"/>
      <c r="B49" s="334"/>
      <c r="C49" s="245"/>
      <c r="D49" s="442" t="s">
        <v>52</v>
      </c>
      <c r="E49" s="31"/>
      <c r="F49" s="31"/>
      <c r="G49" s="31"/>
      <c r="H49" s="31"/>
      <c r="I49" s="31"/>
      <c r="J49" s="31"/>
      <c r="K49" s="31"/>
      <c r="L49" s="31"/>
      <c r="M49" s="31"/>
      <c r="N49" s="31"/>
      <c r="O49" s="31"/>
      <c r="P49" s="31"/>
      <c r="Q49" s="143"/>
      <c r="R49" s="334"/>
      <c r="S49" s="228"/>
      <c r="T49" s="229"/>
      <c r="U49" s="229"/>
      <c r="V49" s="236"/>
      <c r="W49" s="236"/>
      <c r="X49" s="236"/>
      <c r="Y49" s="236"/>
      <c r="Z49" s="236"/>
      <c r="AA49" s="236"/>
      <c r="AB49" s="236"/>
      <c r="AC49" s="236"/>
      <c r="AD49" s="130"/>
      <c r="AE49" s="130"/>
      <c r="AF49" s="130"/>
      <c r="AG49" s="130"/>
      <c r="AH49" s="130"/>
      <c r="AI49" s="130"/>
      <c r="AJ49" s="130"/>
      <c r="AK49" s="130"/>
      <c r="AL49" s="130"/>
      <c r="AM49" s="130"/>
      <c r="AN49" s="130"/>
      <c r="AO49" s="130"/>
      <c r="AP49" s="130"/>
      <c r="AQ49" s="130"/>
      <c r="AR49" s="130"/>
      <c r="AS49" s="130"/>
      <c r="AT49" s="130"/>
      <c r="AU49" s="130"/>
      <c r="AV49" s="130"/>
      <c r="AW49" s="130"/>
      <c r="AX49" s="130"/>
      <c r="AY49" s="130"/>
      <c r="AZ49" s="130"/>
      <c r="BA49" s="130"/>
      <c r="BB49" s="130"/>
      <c r="BC49" s="130"/>
      <c r="BD49" s="130"/>
      <c r="BE49" s="130"/>
      <c r="BF49" s="130"/>
      <c r="BG49" s="130"/>
      <c r="BH49" s="130"/>
      <c r="BI49" s="130"/>
      <c r="BJ49" s="130"/>
      <c r="BK49" s="130"/>
      <c r="BL49" s="130"/>
      <c r="BM49" s="130"/>
      <c r="BN49" s="130"/>
      <c r="BO49" s="130"/>
      <c r="BP49" s="130"/>
      <c r="BQ49" s="130"/>
    </row>
    <row r="50" spans="1:69" s="28" customFormat="1" ht="15.75" customHeight="1">
      <c r="A50" s="328"/>
      <c r="B50" s="334"/>
      <c r="C50" s="138"/>
      <c r="D50" s="740" t="s">
        <v>0</v>
      </c>
      <c r="E50" s="741"/>
      <c r="F50" s="741"/>
      <c r="G50" s="741"/>
      <c r="H50" s="741"/>
      <c r="I50" s="741"/>
      <c r="J50" s="741"/>
      <c r="K50" s="741"/>
      <c r="L50" s="741"/>
      <c r="M50" s="741"/>
      <c r="N50" s="741"/>
      <c r="O50" s="741"/>
      <c r="P50" s="742"/>
      <c r="Q50" s="139"/>
      <c r="R50" s="334"/>
      <c r="S50" s="132" t="s">
        <v>0</v>
      </c>
      <c r="T50" s="131"/>
      <c r="U50" s="131"/>
      <c r="V50" s="64"/>
      <c r="W50" s="64"/>
      <c r="X50" s="64"/>
      <c r="Y50" s="64"/>
      <c r="Z50" s="64"/>
      <c r="AA50" s="64"/>
      <c r="AB50" s="64"/>
      <c r="AC50" s="64"/>
      <c r="AD50" s="130"/>
      <c r="AE50" s="130"/>
      <c r="AF50" s="130"/>
      <c r="AG50" s="130"/>
      <c r="AH50" s="130"/>
      <c r="AI50" s="130"/>
      <c r="AJ50" s="130"/>
      <c r="AK50" s="130"/>
      <c r="AL50" s="130"/>
      <c r="AM50" s="130"/>
      <c r="AN50" s="130"/>
      <c r="AO50" s="130"/>
      <c r="AP50" s="130"/>
      <c r="AQ50" s="130"/>
      <c r="AR50" s="130"/>
      <c r="AS50" s="130"/>
      <c r="AT50" s="130"/>
      <c r="AU50" s="130"/>
      <c r="AV50" s="130"/>
      <c r="AW50" s="130"/>
      <c r="AX50" s="130"/>
      <c r="AY50" s="130"/>
      <c r="AZ50" s="130"/>
      <c r="BA50" s="130"/>
      <c r="BB50" s="130"/>
      <c r="BC50" s="130"/>
      <c r="BD50" s="130"/>
      <c r="BE50" s="130"/>
      <c r="BF50" s="130"/>
      <c r="BG50" s="130"/>
      <c r="BH50" s="130"/>
      <c r="BI50" s="130"/>
      <c r="BJ50" s="130"/>
      <c r="BK50" s="130"/>
      <c r="BL50" s="130"/>
      <c r="BM50" s="130"/>
      <c r="BN50" s="130"/>
      <c r="BO50" s="130"/>
      <c r="BP50" s="130"/>
      <c r="BQ50" s="130"/>
    </row>
    <row r="51" spans="1:69" s="33" customFormat="1" ht="15.75" customHeight="1">
      <c r="A51" s="327"/>
      <c r="B51" s="334"/>
      <c r="C51" s="232"/>
      <c r="D51" s="442" t="s">
        <v>60</v>
      </c>
      <c r="E51" s="292" t="s">
        <v>18</v>
      </c>
      <c r="F51" s="292" t="s">
        <v>19</v>
      </c>
      <c r="G51" s="292"/>
      <c r="H51" s="292"/>
      <c r="I51" s="292"/>
      <c r="J51" s="292"/>
      <c r="K51" s="292"/>
      <c r="L51" s="292"/>
      <c r="M51" s="292"/>
      <c r="N51" s="292"/>
      <c r="O51" s="292"/>
      <c r="P51" s="292" t="s">
        <v>20</v>
      </c>
      <c r="Q51" s="137"/>
      <c r="R51" s="334"/>
      <c r="S51" s="228"/>
      <c r="T51" s="229"/>
      <c r="U51" s="229"/>
      <c r="V51" s="230"/>
      <c r="W51" s="230"/>
      <c r="X51" s="230"/>
      <c r="Y51" s="230"/>
      <c r="Z51" s="230"/>
      <c r="AA51" s="230"/>
      <c r="AB51" s="230"/>
      <c r="AC51" s="230"/>
      <c r="AD51" s="127"/>
      <c r="AE51" s="127"/>
      <c r="AF51" s="127"/>
      <c r="AG51" s="127"/>
      <c r="AH51" s="127"/>
      <c r="AI51" s="127"/>
      <c r="AJ51" s="127"/>
      <c r="AK51" s="127"/>
      <c r="AL51" s="127"/>
      <c r="AM51" s="127"/>
      <c r="AN51" s="127"/>
      <c r="AO51" s="127"/>
      <c r="AP51" s="127"/>
      <c r="AQ51" s="127"/>
      <c r="AR51" s="127"/>
      <c r="AS51" s="127"/>
      <c r="AT51" s="127"/>
      <c r="AU51" s="127"/>
      <c r="AV51" s="127"/>
      <c r="AW51" s="127"/>
      <c r="AX51" s="127"/>
      <c r="AY51" s="127"/>
      <c r="AZ51" s="127"/>
      <c r="BA51" s="127"/>
      <c r="BB51" s="127"/>
      <c r="BC51" s="127"/>
      <c r="BD51" s="127"/>
      <c r="BE51" s="127"/>
      <c r="BF51" s="127"/>
      <c r="BG51" s="127"/>
      <c r="BH51" s="127"/>
      <c r="BI51" s="127"/>
      <c r="BJ51" s="127"/>
      <c r="BK51" s="127"/>
      <c r="BL51" s="127"/>
      <c r="BM51" s="127"/>
      <c r="BN51" s="127"/>
      <c r="BO51" s="127"/>
      <c r="BP51" s="127"/>
      <c r="BQ51" s="127"/>
    </row>
    <row r="52" spans="1:69" s="28" customFormat="1" ht="15.75" customHeight="1">
      <c r="A52" s="328"/>
      <c r="B52" s="334"/>
      <c r="C52" s="138"/>
      <c r="D52" s="36" t="s">
        <v>0</v>
      </c>
      <c r="E52" s="30" t="s">
        <v>229</v>
      </c>
      <c r="F52" s="71">
        <v>1</v>
      </c>
      <c r="G52" s="72">
        <v>2</v>
      </c>
      <c r="H52" s="73">
        <v>3</v>
      </c>
      <c r="I52" s="74">
        <v>4</v>
      </c>
      <c r="J52" s="75">
        <v>5</v>
      </c>
      <c r="K52" s="76">
        <v>6</v>
      </c>
      <c r="L52" s="77">
        <v>7</v>
      </c>
      <c r="M52" s="78">
        <v>8</v>
      </c>
      <c r="N52" s="79">
        <v>9</v>
      </c>
      <c r="O52" s="80">
        <v>10</v>
      </c>
      <c r="P52" s="32" t="s">
        <v>0</v>
      </c>
      <c r="Q52" s="139"/>
      <c r="R52" s="334"/>
      <c r="S52" s="133">
        <f>VLOOKUP($E52,R.VL_DEQResourcesInvolved,2,FALSE)</f>
        <v>0</v>
      </c>
      <c r="T52" s="121">
        <f>VLOOKUP($E52,R.VL_DEQResourcesInvolved,3,FALSE)</f>
        <v>0</v>
      </c>
      <c r="U52" s="121">
        <f>IF(S52=10,T52,VLOOKUP($E52,R.VL_DEQResourcesInvolved,4,FALSE))</f>
        <v>0</v>
      </c>
      <c r="V52" s="575" t="s">
        <v>554</v>
      </c>
      <c r="W52" s="64"/>
      <c r="X52" s="64"/>
      <c r="Y52" s="64"/>
      <c r="Z52" s="64"/>
      <c r="AA52" s="64"/>
      <c r="AB52" s="64"/>
      <c r="AC52" s="64"/>
      <c r="AD52" s="130"/>
      <c r="AE52" s="130"/>
      <c r="AF52" s="130"/>
      <c r="AG52" s="130"/>
      <c r="AH52" s="130"/>
      <c r="AI52" s="130"/>
      <c r="AJ52" s="130"/>
      <c r="AK52" s="130"/>
      <c r="AL52" s="130"/>
      <c r="AM52" s="130"/>
      <c r="AN52" s="130"/>
      <c r="AO52" s="130"/>
      <c r="AP52" s="130"/>
      <c r="AQ52" s="130"/>
      <c r="AR52" s="130"/>
      <c r="AS52" s="130"/>
      <c r="AT52" s="130"/>
      <c r="AU52" s="130"/>
      <c r="AV52" s="130"/>
      <c r="AW52" s="130"/>
      <c r="AX52" s="130"/>
      <c r="AY52" s="130"/>
      <c r="AZ52" s="130"/>
      <c r="BA52" s="130"/>
      <c r="BB52" s="130"/>
      <c r="BC52" s="130"/>
      <c r="BD52" s="130"/>
      <c r="BE52" s="130"/>
      <c r="BF52" s="130"/>
      <c r="BG52" s="130"/>
      <c r="BH52" s="130"/>
      <c r="BI52" s="130"/>
      <c r="BJ52" s="130"/>
      <c r="BK52" s="130"/>
      <c r="BL52" s="130"/>
      <c r="BM52" s="130"/>
      <c r="BN52" s="130"/>
      <c r="BO52" s="130"/>
      <c r="BP52" s="130"/>
      <c r="BQ52" s="130"/>
    </row>
    <row r="53" spans="1:69" s="28" customFormat="1" ht="15.75" hidden="1" customHeight="1" outlineLevel="1">
      <c r="A53" s="328"/>
      <c r="B53" s="334"/>
      <c r="C53" s="138"/>
      <c r="D53" s="36" t="s">
        <v>0</v>
      </c>
      <c r="E53" s="30" t="s">
        <v>229</v>
      </c>
      <c r="F53" s="71">
        <v>1</v>
      </c>
      <c r="G53" s="72">
        <v>2</v>
      </c>
      <c r="H53" s="73">
        <v>3</v>
      </c>
      <c r="I53" s="74">
        <v>4</v>
      </c>
      <c r="J53" s="75">
        <v>5</v>
      </c>
      <c r="K53" s="76">
        <v>6</v>
      </c>
      <c r="L53" s="77">
        <v>7</v>
      </c>
      <c r="M53" s="78">
        <v>8</v>
      </c>
      <c r="N53" s="79">
        <v>9</v>
      </c>
      <c r="O53" s="80">
        <v>10</v>
      </c>
      <c r="P53" s="32" t="s">
        <v>0</v>
      </c>
      <c r="Q53" s="139"/>
      <c r="R53" s="334"/>
      <c r="S53" s="133">
        <f>VLOOKUP($E53,R.VL_DEQResourcesInvolved,2,FALSE)</f>
        <v>0</v>
      </c>
      <c r="T53" s="121">
        <f>VLOOKUP($E53,R.VL_DEQResourcesInvolved,3,FALSE)</f>
        <v>0</v>
      </c>
      <c r="U53" s="121">
        <f>IF(S53=10,T53,VLOOKUP($E53,R.VL_DEQResourcesInvolved,4,FALSE))</f>
        <v>0</v>
      </c>
      <c r="V53" s="64"/>
      <c r="W53" s="64"/>
      <c r="X53" s="64"/>
      <c r="Y53" s="64"/>
      <c r="Z53" s="64"/>
      <c r="AA53" s="64"/>
      <c r="AB53" s="64"/>
      <c r="AC53" s="64"/>
      <c r="AD53" s="130"/>
      <c r="AE53" s="130"/>
      <c r="AF53" s="130"/>
      <c r="AG53" s="130"/>
      <c r="AH53" s="130"/>
      <c r="AI53" s="130"/>
      <c r="AJ53" s="130"/>
      <c r="AK53" s="130"/>
      <c r="AL53" s="130"/>
      <c r="AM53" s="130"/>
      <c r="AN53" s="130"/>
      <c r="AO53" s="130"/>
      <c r="AP53" s="130"/>
      <c r="AQ53" s="130"/>
      <c r="AR53" s="130"/>
      <c r="AS53" s="130"/>
      <c r="AT53" s="130"/>
      <c r="AU53" s="130"/>
      <c r="AV53" s="130"/>
      <c r="AW53" s="130"/>
      <c r="AX53" s="130"/>
      <c r="AY53" s="130"/>
      <c r="AZ53" s="130"/>
      <c r="BA53" s="130"/>
      <c r="BB53" s="130"/>
      <c r="BC53" s="130"/>
      <c r="BD53" s="130"/>
      <c r="BE53" s="130"/>
      <c r="BF53" s="130"/>
      <c r="BG53" s="130"/>
      <c r="BH53" s="130"/>
      <c r="BI53" s="130"/>
      <c r="BJ53" s="130"/>
      <c r="BK53" s="130"/>
      <c r="BL53" s="130"/>
      <c r="BM53" s="130"/>
      <c r="BN53" s="130"/>
      <c r="BO53" s="130"/>
      <c r="BP53" s="130"/>
      <c r="BQ53" s="130"/>
    </row>
    <row r="54" spans="1:69" s="28" customFormat="1" ht="15.75" hidden="1" customHeight="1" outlineLevel="1">
      <c r="A54" s="328"/>
      <c r="B54" s="334"/>
      <c r="C54" s="138"/>
      <c r="D54" s="36" t="s">
        <v>0</v>
      </c>
      <c r="E54" s="30" t="s">
        <v>229</v>
      </c>
      <c r="F54" s="71">
        <v>1</v>
      </c>
      <c r="G54" s="72">
        <v>2</v>
      </c>
      <c r="H54" s="73">
        <v>3</v>
      </c>
      <c r="I54" s="74">
        <v>4</v>
      </c>
      <c r="J54" s="75">
        <v>5</v>
      </c>
      <c r="K54" s="76">
        <v>6</v>
      </c>
      <c r="L54" s="77">
        <v>7</v>
      </c>
      <c r="M54" s="78">
        <v>8</v>
      </c>
      <c r="N54" s="79">
        <v>9</v>
      </c>
      <c r="O54" s="80">
        <v>10</v>
      </c>
      <c r="P54" s="32" t="s">
        <v>0</v>
      </c>
      <c r="Q54" s="139"/>
      <c r="R54" s="334"/>
      <c r="S54" s="133">
        <f>VLOOKUP($E54,R.VL_DEQResourcesInvolved,2,FALSE)</f>
        <v>0</v>
      </c>
      <c r="T54" s="121">
        <f>VLOOKUP($E54,R.VL_DEQResourcesInvolved,3,FALSE)</f>
        <v>0</v>
      </c>
      <c r="U54" s="121">
        <f>IF(S54=10,T54,VLOOKUP($E54,R.VL_DEQResourcesInvolved,4,FALSE))</f>
        <v>0</v>
      </c>
      <c r="V54" s="64"/>
      <c r="W54" s="64"/>
      <c r="X54" s="64"/>
      <c r="Y54" s="64"/>
      <c r="Z54" s="64"/>
      <c r="AA54" s="64"/>
      <c r="AB54" s="64"/>
      <c r="AC54" s="64"/>
      <c r="AD54" s="130"/>
      <c r="AE54" s="130"/>
      <c r="AF54" s="130"/>
      <c r="AG54" s="130"/>
      <c r="AH54" s="130"/>
      <c r="AI54" s="130"/>
      <c r="AJ54" s="130"/>
      <c r="AK54" s="130"/>
      <c r="AL54" s="130"/>
      <c r="AM54" s="130"/>
      <c r="AN54" s="130"/>
      <c r="AO54" s="130"/>
      <c r="AP54" s="130"/>
      <c r="AQ54" s="130"/>
      <c r="AR54" s="130"/>
      <c r="AS54" s="130"/>
      <c r="AT54" s="130"/>
      <c r="AU54" s="130"/>
      <c r="AV54" s="130"/>
      <c r="AW54" s="130"/>
      <c r="AX54" s="130"/>
      <c r="AY54" s="130"/>
      <c r="AZ54" s="130"/>
      <c r="BA54" s="130"/>
      <c r="BB54" s="130"/>
      <c r="BC54" s="130"/>
      <c r="BD54" s="130"/>
      <c r="BE54" s="130"/>
      <c r="BF54" s="130"/>
      <c r="BG54" s="130"/>
      <c r="BH54" s="130"/>
      <c r="BI54" s="130"/>
      <c r="BJ54" s="130"/>
      <c r="BK54" s="130"/>
      <c r="BL54" s="130"/>
      <c r="BM54" s="130"/>
      <c r="BN54" s="130"/>
      <c r="BO54" s="130"/>
      <c r="BP54" s="130"/>
      <c r="BQ54" s="130"/>
    </row>
    <row r="55" spans="1:69" s="28" customFormat="1" ht="15.75" hidden="1" customHeight="1" outlineLevel="1">
      <c r="A55" s="328"/>
      <c r="B55" s="334"/>
      <c r="C55" s="138"/>
      <c r="D55" s="36" t="s">
        <v>0</v>
      </c>
      <c r="E55" s="30" t="s">
        <v>229</v>
      </c>
      <c r="F55" s="71">
        <v>1</v>
      </c>
      <c r="G55" s="72">
        <v>2</v>
      </c>
      <c r="H55" s="73">
        <v>3</v>
      </c>
      <c r="I55" s="74">
        <v>4</v>
      </c>
      <c r="J55" s="75">
        <v>5</v>
      </c>
      <c r="K55" s="76">
        <v>6</v>
      </c>
      <c r="L55" s="77">
        <v>7</v>
      </c>
      <c r="M55" s="78">
        <v>8</v>
      </c>
      <c r="N55" s="79">
        <v>9</v>
      </c>
      <c r="O55" s="80">
        <v>10</v>
      </c>
      <c r="P55" s="32" t="s">
        <v>0</v>
      </c>
      <c r="Q55" s="139"/>
      <c r="R55" s="334"/>
      <c r="S55" s="133">
        <f>VLOOKUP($E55,R.VL_DEQResourcesInvolved,2,FALSE)</f>
        <v>0</v>
      </c>
      <c r="T55" s="121">
        <f>VLOOKUP($E55,R.VL_DEQResourcesInvolved,3,FALSE)</f>
        <v>0</v>
      </c>
      <c r="U55" s="121">
        <f>IF(S55=10,T55,VLOOKUP($E55,R.VL_DEQResourcesInvolved,4,FALSE))</f>
        <v>0</v>
      </c>
      <c r="V55" s="64"/>
      <c r="W55" s="64"/>
      <c r="X55" s="64"/>
      <c r="Y55" s="64"/>
      <c r="Z55" s="64"/>
      <c r="AA55" s="64"/>
      <c r="AB55" s="64"/>
      <c r="AC55" s="64"/>
      <c r="AD55" s="130"/>
      <c r="AE55" s="130"/>
      <c r="AF55" s="130"/>
      <c r="AG55" s="130"/>
      <c r="AH55" s="130"/>
      <c r="AI55" s="130"/>
      <c r="AJ55" s="130"/>
      <c r="AK55" s="130"/>
      <c r="AL55" s="130"/>
      <c r="AM55" s="130"/>
      <c r="AN55" s="130"/>
      <c r="AO55" s="130"/>
      <c r="AP55" s="130"/>
      <c r="AQ55" s="130"/>
      <c r="AR55" s="130"/>
      <c r="AS55" s="130"/>
      <c r="AT55" s="130"/>
      <c r="AU55" s="130"/>
      <c r="AV55" s="130"/>
      <c r="AW55" s="130"/>
      <c r="AX55" s="130"/>
      <c r="AY55" s="130"/>
      <c r="AZ55" s="130"/>
      <c r="BA55" s="130"/>
      <c r="BB55" s="130"/>
      <c r="BC55" s="130"/>
      <c r="BD55" s="130"/>
      <c r="BE55" s="130"/>
      <c r="BF55" s="130"/>
      <c r="BG55" s="130"/>
      <c r="BH55" s="130"/>
      <c r="BI55" s="130"/>
      <c r="BJ55" s="130"/>
      <c r="BK55" s="130"/>
      <c r="BL55" s="130"/>
      <c r="BM55" s="130"/>
      <c r="BN55" s="130"/>
      <c r="BO55" s="130"/>
      <c r="BP55" s="130"/>
      <c r="BQ55" s="130"/>
    </row>
    <row r="56" spans="1:69" s="28" customFormat="1" ht="14.25" customHeight="1" collapsed="1">
      <c r="A56" s="328"/>
      <c r="B56" s="334"/>
      <c r="C56" s="144"/>
      <c r="D56" s="101"/>
      <c r="E56" s="738"/>
      <c r="F56" s="738"/>
      <c r="G56" s="738"/>
      <c r="H56" s="738"/>
      <c r="I56" s="738"/>
      <c r="J56" s="738"/>
      <c r="K56" s="738"/>
      <c r="L56" s="738"/>
      <c r="M56" s="738"/>
      <c r="N56" s="738"/>
      <c r="O56" s="738"/>
      <c r="P56" s="738"/>
      <c r="Q56" s="145"/>
      <c r="R56" s="334"/>
      <c r="S56" s="132"/>
      <c r="T56" s="131"/>
      <c r="U56" s="131"/>
      <c r="V56" s="64"/>
      <c r="W56" s="64"/>
      <c r="X56" s="64"/>
      <c r="Y56" s="64"/>
      <c r="Z56" s="64"/>
      <c r="AA56" s="64"/>
      <c r="AB56" s="64"/>
      <c r="AC56" s="64"/>
      <c r="AD56" s="130"/>
      <c r="AE56" s="130"/>
      <c r="AF56" s="130"/>
      <c r="AG56" s="130"/>
      <c r="AH56" s="130"/>
      <c r="AI56" s="130"/>
      <c r="AJ56" s="130"/>
      <c r="AK56" s="130"/>
      <c r="AL56" s="130"/>
      <c r="AM56" s="130"/>
      <c r="AN56" s="130"/>
      <c r="AO56" s="130"/>
      <c r="AP56" s="130"/>
      <c r="AQ56" s="130"/>
      <c r="AR56" s="130"/>
      <c r="AS56" s="130"/>
      <c r="AT56" s="130"/>
      <c r="AU56" s="130"/>
      <c r="AV56" s="130"/>
      <c r="AW56" s="130"/>
      <c r="AX56" s="130"/>
      <c r="AY56" s="130"/>
      <c r="AZ56" s="130"/>
      <c r="BA56" s="130"/>
      <c r="BB56" s="130"/>
      <c r="BC56" s="130"/>
      <c r="BD56" s="130"/>
      <c r="BE56" s="130"/>
      <c r="BF56" s="130"/>
      <c r="BG56" s="130"/>
      <c r="BH56" s="130"/>
      <c r="BI56" s="130"/>
      <c r="BJ56" s="130"/>
      <c r="BK56" s="130"/>
      <c r="BL56" s="130"/>
      <c r="BM56" s="130"/>
      <c r="BN56" s="130"/>
      <c r="BO56" s="130"/>
      <c r="BP56" s="130"/>
      <c r="BQ56" s="130"/>
    </row>
    <row r="57" spans="1:69" s="29" customFormat="1" ht="30" customHeight="1">
      <c r="A57" s="327"/>
      <c r="B57" s="334"/>
      <c r="C57" s="146"/>
      <c r="D57" s="743" t="str">
        <f>"Please suggest process improvements to the "&amp;D2&amp;" worksheet."</f>
        <v>Please suggest process improvements to the Regions worksheet.</v>
      </c>
      <c r="E57" s="743"/>
      <c r="F57" s="743"/>
      <c r="G57" s="743"/>
      <c r="H57" s="743"/>
      <c r="I57" s="743"/>
      <c r="J57" s="88"/>
      <c r="K57" s="89"/>
      <c r="L57" s="90"/>
      <c r="M57" s="91"/>
      <c r="N57" s="92"/>
      <c r="O57" s="93"/>
      <c r="P57" s="39"/>
      <c r="Q57" s="147"/>
      <c r="R57" s="334"/>
      <c r="S57" s="134"/>
      <c r="T57" s="131"/>
      <c r="U57" s="131"/>
      <c r="V57" s="64"/>
      <c r="W57" s="64"/>
      <c r="X57" s="64"/>
      <c r="Y57" s="64"/>
      <c r="Z57" s="64"/>
      <c r="AA57" s="64"/>
      <c r="AB57" s="64"/>
      <c r="AC57" s="64"/>
      <c r="AD57" s="65"/>
      <c r="AE57" s="65"/>
      <c r="AF57" s="65"/>
      <c r="AG57" s="65"/>
      <c r="AH57" s="65"/>
      <c r="AI57" s="65"/>
      <c r="AJ57" s="65"/>
      <c r="AK57" s="65"/>
      <c r="AL57" s="65"/>
      <c r="AM57" s="65"/>
      <c r="AN57" s="65"/>
      <c r="AO57" s="65"/>
      <c r="AP57" s="65"/>
      <c r="AQ57" s="65"/>
      <c r="AR57" s="65"/>
      <c r="AS57" s="65"/>
      <c r="AT57" s="65"/>
      <c r="AU57" s="65"/>
      <c r="AV57" s="65"/>
      <c r="AW57" s="65"/>
      <c r="AX57" s="65"/>
      <c r="AY57" s="65"/>
      <c r="AZ57" s="65"/>
      <c r="BA57" s="65"/>
      <c r="BB57" s="65"/>
      <c r="BC57" s="65"/>
      <c r="BD57" s="65"/>
      <c r="BE57" s="65"/>
      <c r="BF57" s="65"/>
      <c r="BG57" s="65"/>
      <c r="BH57" s="65"/>
      <c r="BI57" s="65"/>
      <c r="BJ57" s="65"/>
      <c r="BK57" s="65"/>
      <c r="BL57" s="65"/>
      <c r="BM57" s="65"/>
      <c r="BN57" s="65"/>
      <c r="BO57" s="65"/>
      <c r="BP57" s="65"/>
      <c r="BQ57" s="65"/>
    </row>
    <row r="58" spans="1:69" s="6" customFormat="1" ht="30.75" customHeight="1">
      <c r="A58" s="336"/>
      <c r="B58" s="334"/>
      <c r="C58" s="136"/>
      <c r="D58" s="641"/>
      <c r="E58" s="642"/>
      <c r="F58" s="642"/>
      <c r="G58" s="642"/>
      <c r="H58" s="642"/>
      <c r="I58" s="642"/>
      <c r="J58" s="642"/>
      <c r="K58" s="642"/>
      <c r="L58" s="642"/>
      <c r="M58" s="642"/>
      <c r="N58" s="642"/>
      <c r="O58" s="642"/>
      <c r="P58" s="643"/>
      <c r="Q58" s="148"/>
      <c r="R58" s="334"/>
      <c r="S58" s="132"/>
      <c r="T58" s="131"/>
      <c r="U58" s="131"/>
      <c r="V58" s="64"/>
      <c r="W58" s="64"/>
      <c r="X58" s="64"/>
      <c r="Y58" s="64"/>
      <c r="Z58" s="64"/>
      <c r="AA58" s="64"/>
      <c r="AB58" s="64"/>
      <c r="AC58" s="64"/>
      <c r="AD58" s="66"/>
      <c r="AE58" s="66"/>
      <c r="AF58" s="66"/>
      <c r="AG58" s="66"/>
      <c r="AH58" s="66"/>
      <c r="AI58" s="66"/>
      <c r="AJ58" s="66"/>
      <c r="AK58" s="66"/>
      <c r="AL58" s="66"/>
      <c r="AM58" s="66"/>
      <c r="AN58" s="66"/>
      <c r="AO58" s="66"/>
      <c r="AP58" s="66"/>
      <c r="AQ58" s="66"/>
      <c r="AR58" s="66"/>
      <c r="AS58" s="66"/>
      <c r="AT58" s="66"/>
      <c r="AU58" s="66"/>
      <c r="AV58" s="66"/>
      <c r="AW58" s="66"/>
      <c r="AX58" s="66"/>
      <c r="AY58" s="66"/>
      <c r="AZ58" s="66"/>
      <c r="BA58" s="66"/>
      <c r="BB58" s="66"/>
      <c r="BC58" s="66"/>
      <c r="BD58" s="66"/>
      <c r="BE58" s="66"/>
      <c r="BF58" s="66"/>
      <c r="BG58" s="66"/>
      <c r="BH58" s="66"/>
      <c r="BI58" s="66"/>
      <c r="BJ58" s="66"/>
      <c r="BK58" s="66"/>
      <c r="BL58" s="66"/>
      <c r="BM58" s="66"/>
      <c r="BN58" s="66"/>
      <c r="BO58" s="66"/>
      <c r="BP58" s="66"/>
      <c r="BQ58" s="66"/>
    </row>
    <row r="59" spans="1:69" ht="18" customHeight="1">
      <c r="A59" s="350" t="s">
        <v>108</v>
      </c>
      <c r="B59" s="334"/>
      <c r="C59" s="136"/>
      <c r="D59" s="40"/>
      <c r="E59" s="150"/>
      <c r="F59" s="150"/>
      <c r="G59" s="150"/>
      <c r="H59" s="150"/>
      <c r="I59" s="150"/>
      <c r="J59" s="150"/>
      <c r="K59" s="150"/>
      <c r="L59" s="150"/>
      <c r="M59" s="150"/>
      <c r="N59" s="150"/>
      <c r="O59" s="150"/>
      <c r="P59" s="150"/>
      <c r="Q59" s="151"/>
      <c r="R59" s="334"/>
    </row>
    <row r="60" spans="1:69" ht="14.25" customHeight="1">
      <c r="A60" s="312"/>
      <c r="B60" s="347"/>
      <c r="C60" s="347"/>
      <c r="D60" s="347"/>
      <c r="E60" s="334"/>
      <c r="F60" s="334"/>
      <c r="G60" s="334"/>
      <c r="H60" s="334"/>
      <c r="I60" s="334"/>
      <c r="J60" s="334"/>
      <c r="K60" s="334"/>
      <c r="L60" s="334"/>
      <c r="M60" s="334"/>
      <c r="N60" s="334"/>
      <c r="O60" s="334"/>
      <c r="P60" s="334"/>
      <c r="Q60" s="334"/>
      <c r="R60" s="334"/>
    </row>
    <row r="61" spans="1:69">
      <c r="A61" s="329"/>
      <c r="C61" s="43"/>
      <c r="D61" s="45"/>
      <c r="E61" s="45"/>
      <c r="F61" s="45"/>
      <c r="G61" s="45"/>
      <c r="H61" s="45"/>
      <c r="I61" s="45"/>
      <c r="J61" s="45"/>
      <c r="K61" s="45"/>
      <c r="L61" s="45"/>
      <c r="M61" s="45"/>
      <c r="N61" s="45"/>
      <c r="O61" s="45"/>
      <c r="P61" s="45"/>
      <c r="Q61" s="45"/>
    </row>
    <row r="62" spans="1:69">
      <c r="A62" s="329"/>
      <c r="C62" s="43"/>
      <c r="D62" s="45"/>
      <c r="E62" s="45"/>
      <c r="F62" s="45"/>
      <c r="G62" s="45"/>
      <c r="H62" s="45"/>
      <c r="I62" s="45"/>
      <c r="J62" s="45"/>
      <c r="K62" s="45"/>
      <c r="L62" s="45"/>
      <c r="M62" s="45"/>
      <c r="N62" s="45"/>
      <c r="O62" s="45"/>
      <c r="P62" s="45"/>
      <c r="Q62" s="45"/>
    </row>
    <row r="63" spans="1:69">
      <c r="A63" s="329"/>
      <c r="C63" s="43"/>
      <c r="D63" s="45"/>
      <c r="E63" s="45"/>
      <c r="F63" s="45"/>
      <c r="G63" s="45"/>
      <c r="H63" s="45"/>
      <c r="I63" s="45"/>
      <c r="J63" s="45"/>
      <c r="K63" s="45"/>
      <c r="L63" s="45"/>
      <c r="M63" s="45"/>
      <c r="N63" s="45"/>
      <c r="O63" s="45"/>
      <c r="P63" s="45"/>
      <c r="Q63" s="45"/>
    </row>
    <row r="64" spans="1:69">
      <c r="A64" s="329"/>
    </row>
  </sheetData>
  <sheetProtection sheet="1" scenarios="1" formatCells="0" formatRows="0" insertHyperlinks="0"/>
  <mergeCells count="20">
    <mergeCell ref="E2:P2"/>
    <mergeCell ref="D11:P11"/>
    <mergeCell ref="F12:O12"/>
    <mergeCell ref="D18:P18"/>
    <mergeCell ref="M3:P3"/>
    <mergeCell ref="F4:L4"/>
    <mergeCell ref="M4:P4"/>
    <mergeCell ref="F5:L5"/>
    <mergeCell ref="M5:P5"/>
    <mergeCell ref="D7:P7"/>
    <mergeCell ref="E56:P56"/>
    <mergeCell ref="E24:P24"/>
    <mergeCell ref="D58:P58"/>
    <mergeCell ref="D27:P27"/>
    <mergeCell ref="D34:P34"/>
    <mergeCell ref="E40:P40"/>
    <mergeCell ref="D43:P43"/>
    <mergeCell ref="F44:O44"/>
    <mergeCell ref="D50:P50"/>
    <mergeCell ref="D57:I57"/>
  </mergeCells>
  <conditionalFormatting sqref="F59:O59 J57:O57 F36:O40 F45:O48 F52:O56 F13:O16 F29:O32 F20:O25">
    <cfRule type="colorScale" priority="257">
      <colorScale>
        <cfvo type="num" val="0"/>
        <cfvo type="num" val="5"/>
        <cfvo type="num" val="10"/>
        <color rgb="FF00B050"/>
        <color rgb="FFFFFF00"/>
        <color rgb="FFFF0000"/>
      </colorScale>
    </cfRule>
  </conditionalFormatting>
  <conditionalFormatting sqref="N24:N25 N57 N59">
    <cfRule type="expression" dxfId="2479" priority="256" stopIfTrue="1">
      <formula>IF($S24&lt;9,TRUE,)</formula>
    </cfRule>
  </conditionalFormatting>
  <conditionalFormatting sqref="M24:M25 M57 M59">
    <cfRule type="expression" dxfId="2478" priority="255" stopIfTrue="1">
      <formula>IF($S24&lt;8,TRUE,)</formula>
    </cfRule>
  </conditionalFormatting>
  <conditionalFormatting sqref="L24:L25 L57 L59">
    <cfRule type="expression" dxfId="2477" priority="254" stopIfTrue="1">
      <formula>IF($S24&lt;7,TRUE,)</formula>
    </cfRule>
  </conditionalFormatting>
  <conditionalFormatting sqref="K24:K25 K57 K59">
    <cfRule type="expression" dxfId="2476" priority="253" stopIfTrue="1">
      <formula>IF($S24&lt;6,TRUE,)</formula>
    </cfRule>
  </conditionalFormatting>
  <conditionalFormatting sqref="J24:J25 J57 J59">
    <cfRule type="expression" dxfId="2475" priority="252" stopIfTrue="1">
      <formula>IF($S24&lt;5,TRUE,)</formula>
    </cfRule>
  </conditionalFormatting>
  <conditionalFormatting sqref="I24:I25 I59">
    <cfRule type="expression" dxfId="2474" priority="251" stopIfTrue="1">
      <formula>IF($S24&lt;4,TRUE,)</formula>
    </cfRule>
  </conditionalFormatting>
  <conditionalFormatting sqref="H24:H25 H59">
    <cfRule type="expression" dxfId="2473" priority="250" stopIfTrue="1">
      <formula>IF($S24&lt;3,TRUE,)</formula>
    </cfRule>
  </conditionalFormatting>
  <conditionalFormatting sqref="G24:G25 G59">
    <cfRule type="expression" dxfId="2472" priority="249" stopIfTrue="1">
      <formula>IF($S24&lt;2,TRUE,)</formula>
    </cfRule>
  </conditionalFormatting>
  <conditionalFormatting sqref="F24:F25 F59">
    <cfRule type="expression" dxfId="2471" priority="248" stopIfTrue="1">
      <formula>IF($S24&lt;1,TRUE,)</formula>
    </cfRule>
  </conditionalFormatting>
  <conditionalFormatting sqref="O24:O25 O57 O59">
    <cfRule type="expression" dxfId="2470" priority="247" stopIfTrue="1">
      <formula>IF($S24&lt;10,TRUE,)</formula>
    </cfRule>
  </conditionalFormatting>
  <conditionalFormatting sqref="N13:N14">
    <cfRule type="expression" dxfId="2469" priority="245" stopIfTrue="1">
      <formula>IF($S13&lt;9,TRUE,)</formula>
    </cfRule>
  </conditionalFormatting>
  <conditionalFormatting sqref="M13:M14">
    <cfRule type="expression" dxfId="2468" priority="244" stopIfTrue="1">
      <formula>IF($S13&lt;8,TRUE,)</formula>
    </cfRule>
  </conditionalFormatting>
  <conditionalFormatting sqref="L13:L14">
    <cfRule type="expression" dxfId="2467" priority="243" stopIfTrue="1">
      <formula>IF($S13&lt;7,TRUE,)</formula>
    </cfRule>
  </conditionalFormatting>
  <conditionalFormatting sqref="K13:K14">
    <cfRule type="expression" dxfId="2466" priority="242" stopIfTrue="1">
      <formula>IF($S13&lt;6,TRUE,)</formula>
    </cfRule>
  </conditionalFormatting>
  <conditionalFormatting sqref="J13:J14">
    <cfRule type="expression" dxfId="2465" priority="241" stopIfTrue="1">
      <formula>IF($S13&lt;5,TRUE,)</formula>
    </cfRule>
  </conditionalFormatting>
  <conditionalFormatting sqref="I13:I14">
    <cfRule type="expression" dxfId="2464" priority="240" stopIfTrue="1">
      <formula>IF($S13&lt;4,TRUE,)</formula>
    </cfRule>
  </conditionalFormatting>
  <conditionalFormatting sqref="H13:H14">
    <cfRule type="expression" dxfId="2463" priority="239" stopIfTrue="1">
      <formula>IF($S13&lt;3,TRUE,)</formula>
    </cfRule>
  </conditionalFormatting>
  <conditionalFormatting sqref="G13:G14">
    <cfRule type="expression" dxfId="2462" priority="238" stopIfTrue="1">
      <formula>IF($S13&lt;2,TRUE,)</formula>
    </cfRule>
  </conditionalFormatting>
  <conditionalFormatting sqref="F13:F14">
    <cfRule type="expression" dxfId="2461" priority="237" stopIfTrue="1">
      <formula>IF($S13&lt;1,TRUE,)</formula>
    </cfRule>
  </conditionalFormatting>
  <conditionalFormatting sqref="O13:O14">
    <cfRule type="expression" dxfId="2460" priority="236" stopIfTrue="1">
      <formula>IF($S13&lt;10,TRUE,)</formula>
    </cfRule>
  </conditionalFormatting>
  <conditionalFormatting sqref="N20:N21">
    <cfRule type="expression" dxfId="2459" priority="234" stopIfTrue="1">
      <formula>IF($S20&lt;9,TRUE,)</formula>
    </cfRule>
  </conditionalFormatting>
  <conditionalFormatting sqref="M20:M21">
    <cfRule type="expression" dxfId="2458" priority="233" stopIfTrue="1">
      <formula>IF($S20&lt;8,TRUE,)</formula>
    </cfRule>
  </conditionalFormatting>
  <conditionalFormatting sqref="L20:L21">
    <cfRule type="expression" dxfId="2457" priority="232" stopIfTrue="1">
      <formula>IF($S20&lt;7,TRUE,)</formula>
    </cfRule>
  </conditionalFormatting>
  <conditionalFormatting sqref="K20:K21">
    <cfRule type="expression" dxfId="2456" priority="231" stopIfTrue="1">
      <formula>IF($S20&lt;6,TRUE,)</formula>
    </cfRule>
  </conditionalFormatting>
  <conditionalFormatting sqref="J20:J21">
    <cfRule type="expression" dxfId="2455" priority="230" stopIfTrue="1">
      <formula>IF($S20&lt;5,TRUE,)</formula>
    </cfRule>
  </conditionalFormatting>
  <conditionalFormatting sqref="I20:I21">
    <cfRule type="expression" dxfId="2454" priority="229" stopIfTrue="1">
      <formula>IF($S20&lt;4,TRUE,)</formula>
    </cfRule>
  </conditionalFormatting>
  <conditionalFormatting sqref="H20:H21">
    <cfRule type="expression" dxfId="2453" priority="228" stopIfTrue="1">
      <formula>IF($S20&lt;3,TRUE,)</formula>
    </cfRule>
  </conditionalFormatting>
  <conditionalFormatting sqref="G20:G21">
    <cfRule type="expression" dxfId="2452" priority="227" stopIfTrue="1">
      <formula>IF($S20&lt;2,TRUE,)</formula>
    </cfRule>
  </conditionalFormatting>
  <conditionalFormatting sqref="F20:F21">
    <cfRule type="expression" dxfId="2451" priority="226" stopIfTrue="1">
      <formula>IF($S20&lt;1,TRUE,)</formula>
    </cfRule>
  </conditionalFormatting>
  <conditionalFormatting sqref="O20:O21">
    <cfRule type="expression" dxfId="2450" priority="225" stopIfTrue="1">
      <formula>IF($S20&lt;10,TRUE,)</formula>
    </cfRule>
  </conditionalFormatting>
  <conditionalFormatting sqref="N40">
    <cfRule type="expression" dxfId="2449" priority="223" stopIfTrue="1">
      <formula>IF($S40&lt;9,TRUE,)</formula>
    </cfRule>
  </conditionalFormatting>
  <conditionalFormatting sqref="M40">
    <cfRule type="expression" dxfId="2448" priority="222" stopIfTrue="1">
      <formula>IF($S40&lt;8,TRUE,)</formula>
    </cfRule>
  </conditionalFormatting>
  <conditionalFormatting sqref="L40">
    <cfRule type="expression" dxfId="2447" priority="221" stopIfTrue="1">
      <formula>IF($S40&lt;7,TRUE,)</formula>
    </cfRule>
  </conditionalFormatting>
  <conditionalFormatting sqref="K40">
    <cfRule type="expression" dxfId="2446" priority="220" stopIfTrue="1">
      <formula>IF($S40&lt;6,TRUE,)</formula>
    </cfRule>
  </conditionalFormatting>
  <conditionalFormatting sqref="J40">
    <cfRule type="expression" dxfId="2445" priority="219" stopIfTrue="1">
      <formula>IF($S40&lt;5,TRUE,)</formula>
    </cfRule>
  </conditionalFormatting>
  <conditionalFormatting sqref="I40">
    <cfRule type="expression" dxfId="2444" priority="218" stopIfTrue="1">
      <formula>IF($S40&lt;4,TRUE,)</formula>
    </cfRule>
  </conditionalFormatting>
  <conditionalFormatting sqref="H40">
    <cfRule type="expression" dxfId="2443" priority="217" stopIfTrue="1">
      <formula>IF($S40&lt;3,TRUE,)</formula>
    </cfRule>
  </conditionalFormatting>
  <conditionalFormatting sqref="G40">
    <cfRule type="expression" dxfId="2442" priority="216" stopIfTrue="1">
      <formula>IF($S40&lt;2,TRUE,)</formula>
    </cfRule>
  </conditionalFormatting>
  <conditionalFormatting sqref="F40">
    <cfRule type="expression" dxfId="2441" priority="215" stopIfTrue="1">
      <formula>IF($S40&lt;1,TRUE,)</formula>
    </cfRule>
  </conditionalFormatting>
  <conditionalFormatting sqref="O40">
    <cfRule type="expression" dxfId="2440" priority="214" stopIfTrue="1">
      <formula>IF($S40&lt;10,TRUE,)</formula>
    </cfRule>
  </conditionalFormatting>
  <conditionalFormatting sqref="N29:N30">
    <cfRule type="expression" dxfId="2439" priority="212" stopIfTrue="1">
      <formula>IF($S29&lt;9,TRUE,)</formula>
    </cfRule>
  </conditionalFormatting>
  <conditionalFormatting sqref="M29:M30">
    <cfRule type="expression" dxfId="2438" priority="211" stopIfTrue="1">
      <formula>IF($S29&lt;8,TRUE,)</formula>
    </cfRule>
  </conditionalFormatting>
  <conditionalFormatting sqref="L29:L30">
    <cfRule type="expression" dxfId="2437" priority="210" stopIfTrue="1">
      <formula>IF($S29&lt;7,TRUE,)</formula>
    </cfRule>
  </conditionalFormatting>
  <conditionalFormatting sqref="K29:K30">
    <cfRule type="expression" dxfId="2436" priority="209" stopIfTrue="1">
      <formula>IF($S29&lt;6,TRUE,)</formula>
    </cfRule>
  </conditionalFormatting>
  <conditionalFormatting sqref="J29:J30">
    <cfRule type="expression" dxfId="2435" priority="208" stopIfTrue="1">
      <formula>IF($S29&lt;5,TRUE,)</formula>
    </cfRule>
  </conditionalFormatting>
  <conditionalFormatting sqref="I29:I30">
    <cfRule type="expression" dxfId="2434" priority="207" stopIfTrue="1">
      <formula>IF($S29&lt;4,TRUE,)</formula>
    </cfRule>
  </conditionalFormatting>
  <conditionalFormatting sqref="H29:H30">
    <cfRule type="expression" dxfId="2433" priority="206" stopIfTrue="1">
      <formula>IF($S29&lt;3,TRUE,)</formula>
    </cfRule>
  </conditionalFormatting>
  <conditionalFormatting sqref="G29:G30">
    <cfRule type="expression" dxfId="2432" priority="205" stopIfTrue="1">
      <formula>IF($S29&lt;2,TRUE,)</formula>
    </cfRule>
  </conditionalFormatting>
  <conditionalFormatting sqref="F29:F30">
    <cfRule type="expression" dxfId="2431" priority="204" stopIfTrue="1">
      <formula>IF($S29&lt;1,TRUE,)</formula>
    </cfRule>
  </conditionalFormatting>
  <conditionalFormatting sqref="O29:O30">
    <cfRule type="expression" dxfId="2430" priority="203" stopIfTrue="1">
      <formula>IF($S29&lt;10,TRUE,)</formula>
    </cfRule>
  </conditionalFormatting>
  <conditionalFormatting sqref="N36:N37">
    <cfRule type="expression" dxfId="2429" priority="201" stopIfTrue="1">
      <formula>IF($S36&lt;9,TRUE,)</formula>
    </cfRule>
  </conditionalFormatting>
  <conditionalFormatting sqref="M36:M37">
    <cfRule type="expression" dxfId="2428" priority="200" stopIfTrue="1">
      <formula>IF($S36&lt;8,TRUE,)</formula>
    </cfRule>
  </conditionalFormatting>
  <conditionalFormatting sqref="L36:L37">
    <cfRule type="expression" dxfId="2427" priority="199" stopIfTrue="1">
      <formula>IF($S36&lt;7,TRUE,)</formula>
    </cfRule>
  </conditionalFormatting>
  <conditionalFormatting sqref="K36:K37">
    <cfRule type="expression" dxfId="2426" priority="198" stopIfTrue="1">
      <formula>IF($S36&lt;6,TRUE,)</formula>
    </cfRule>
  </conditionalFormatting>
  <conditionalFormatting sqref="J36:J37">
    <cfRule type="expression" dxfId="2425" priority="197" stopIfTrue="1">
      <formula>IF($S36&lt;5,TRUE,)</formula>
    </cfRule>
  </conditionalFormatting>
  <conditionalFormatting sqref="I36:I37">
    <cfRule type="expression" dxfId="2424" priority="196" stopIfTrue="1">
      <formula>IF($S36&lt;4,TRUE,)</formula>
    </cfRule>
  </conditionalFormatting>
  <conditionalFormatting sqref="H36:H37">
    <cfRule type="expression" dxfId="2423" priority="195" stopIfTrue="1">
      <formula>IF($S36&lt;3,TRUE,)</formula>
    </cfRule>
  </conditionalFormatting>
  <conditionalFormatting sqref="G36:G37">
    <cfRule type="expression" dxfId="2422" priority="194" stopIfTrue="1">
      <formula>IF($S36&lt;2,TRUE,)</formula>
    </cfRule>
  </conditionalFormatting>
  <conditionalFormatting sqref="F36:F37">
    <cfRule type="expression" dxfId="2421" priority="193" stopIfTrue="1">
      <formula>IF($S36&lt;1,TRUE,)</formula>
    </cfRule>
  </conditionalFormatting>
  <conditionalFormatting sqref="O36:O37">
    <cfRule type="expression" dxfId="2420" priority="192" stopIfTrue="1">
      <formula>IF($S36&lt;10,TRUE,)</formula>
    </cfRule>
  </conditionalFormatting>
  <conditionalFormatting sqref="N15:N16">
    <cfRule type="expression" dxfId="2419" priority="190" stopIfTrue="1">
      <formula>IF($S15&lt;9,TRUE,)</formula>
    </cfRule>
  </conditionalFormatting>
  <conditionalFormatting sqref="M15:M16">
    <cfRule type="expression" dxfId="2418" priority="189" stopIfTrue="1">
      <formula>IF($S15&lt;8,TRUE,)</formula>
    </cfRule>
  </conditionalFormatting>
  <conditionalFormatting sqref="L15:L16">
    <cfRule type="expression" dxfId="2417" priority="188" stopIfTrue="1">
      <formula>IF($S15&lt;7,TRUE,)</formula>
    </cfRule>
  </conditionalFormatting>
  <conditionalFormatting sqref="K15:K16">
    <cfRule type="expression" dxfId="2416" priority="187" stopIfTrue="1">
      <formula>IF($S15&lt;6,TRUE,)</formula>
    </cfRule>
  </conditionalFormatting>
  <conditionalFormatting sqref="J15:J16">
    <cfRule type="expression" dxfId="2415" priority="186" stopIfTrue="1">
      <formula>IF($S15&lt;5,TRUE,)</formula>
    </cfRule>
  </conditionalFormatting>
  <conditionalFormatting sqref="I15:I16">
    <cfRule type="expression" dxfId="2414" priority="185" stopIfTrue="1">
      <formula>IF($S15&lt;4,TRUE,)</formula>
    </cfRule>
  </conditionalFormatting>
  <conditionalFormatting sqref="H15:H16">
    <cfRule type="expression" dxfId="2413" priority="184" stopIfTrue="1">
      <formula>IF($S15&lt;3,TRUE,)</formula>
    </cfRule>
  </conditionalFormatting>
  <conditionalFormatting sqref="G15:G16">
    <cfRule type="expression" dxfId="2412" priority="183" stopIfTrue="1">
      <formula>IF($S15&lt;2,TRUE,)</formula>
    </cfRule>
  </conditionalFormatting>
  <conditionalFormatting sqref="F15:F16">
    <cfRule type="expression" dxfId="2411" priority="182" stopIfTrue="1">
      <formula>IF($S15&lt;1,TRUE,)</formula>
    </cfRule>
  </conditionalFormatting>
  <conditionalFormatting sqref="O15:O16">
    <cfRule type="expression" dxfId="2410" priority="181" stopIfTrue="1">
      <formula>IF($S15&lt;10,TRUE,)</formula>
    </cfRule>
  </conditionalFormatting>
  <conditionalFormatting sqref="N22:N23">
    <cfRule type="expression" dxfId="2409" priority="179" stopIfTrue="1">
      <formula>IF($S22&lt;9,TRUE,)</formula>
    </cfRule>
  </conditionalFormatting>
  <conditionalFormatting sqref="M22:M23">
    <cfRule type="expression" dxfId="2408" priority="178" stopIfTrue="1">
      <formula>IF($S22&lt;8,TRUE,)</formula>
    </cfRule>
  </conditionalFormatting>
  <conditionalFormatting sqref="L22:L23">
    <cfRule type="expression" dxfId="2407" priority="177" stopIfTrue="1">
      <formula>IF($S22&lt;7,TRUE,)</formula>
    </cfRule>
  </conditionalFormatting>
  <conditionalFormatting sqref="K22:K23">
    <cfRule type="expression" dxfId="2406" priority="176" stopIfTrue="1">
      <formula>IF($S22&lt;6,TRUE,)</formula>
    </cfRule>
  </conditionalFormatting>
  <conditionalFormatting sqref="J22:J23">
    <cfRule type="expression" dxfId="2405" priority="175" stopIfTrue="1">
      <formula>IF($S22&lt;5,TRUE,)</formula>
    </cfRule>
  </conditionalFormatting>
  <conditionalFormatting sqref="I22:I23">
    <cfRule type="expression" dxfId="2404" priority="174" stopIfTrue="1">
      <formula>IF($S22&lt;4,TRUE,)</formula>
    </cfRule>
  </conditionalFormatting>
  <conditionalFormatting sqref="H22:H23">
    <cfRule type="expression" dxfId="2403" priority="173" stopIfTrue="1">
      <formula>IF($S22&lt;3,TRUE,)</formula>
    </cfRule>
  </conditionalFormatting>
  <conditionalFormatting sqref="G22:G23">
    <cfRule type="expression" dxfId="2402" priority="172" stopIfTrue="1">
      <formula>IF($S22&lt;2,TRUE,)</formula>
    </cfRule>
  </conditionalFormatting>
  <conditionalFormatting sqref="F22:F23">
    <cfRule type="expression" dxfId="2401" priority="171" stopIfTrue="1">
      <formula>IF($S22&lt;1,TRUE,)</formula>
    </cfRule>
  </conditionalFormatting>
  <conditionalFormatting sqref="O22:O23">
    <cfRule type="expression" dxfId="2400" priority="170" stopIfTrue="1">
      <formula>IF($S22&lt;10,TRUE,)</formula>
    </cfRule>
  </conditionalFormatting>
  <conditionalFormatting sqref="N31:N32">
    <cfRule type="expression" dxfId="2399" priority="168" stopIfTrue="1">
      <formula>IF($S31&lt;9,TRUE,)</formula>
    </cfRule>
  </conditionalFormatting>
  <conditionalFormatting sqref="M31:M32">
    <cfRule type="expression" dxfId="2398" priority="167" stopIfTrue="1">
      <formula>IF($S31&lt;8,TRUE,)</formula>
    </cfRule>
  </conditionalFormatting>
  <conditionalFormatting sqref="L31:L32">
    <cfRule type="expression" dxfId="2397" priority="166" stopIfTrue="1">
      <formula>IF($S31&lt;7,TRUE,)</formula>
    </cfRule>
  </conditionalFormatting>
  <conditionalFormatting sqref="K31:K32">
    <cfRule type="expression" dxfId="2396" priority="165" stopIfTrue="1">
      <formula>IF($S31&lt;6,TRUE,)</formula>
    </cfRule>
  </conditionalFormatting>
  <conditionalFormatting sqref="J31:J32">
    <cfRule type="expression" dxfId="2395" priority="164" stopIfTrue="1">
      <formula>IF($S31&lt;5,TRUE,)</formula>
    </cfRule>
  </conditionalFormatting>
  <conditionalFormatting sqref="I31:I32">
    <cfRule type="expression" dxfId="2394" priority="163" stopIfTrue="1">
      <formula>IF($S31&lt;4,TRUE,)</formula>
    </cfRule>
  </conditionalFormatting>
  <conditionalFormatting sqref="H31:H32">
    <cfRule type="expression" dxfId="2393" priority="162" stopIfTrue="1">
      <formula>IF($S31&lt;3,TRUE,)</formula>
    </cfRule>
  </conditionalFormatting>
  <conditionalFormatting sqref="G31:G32">
    <cfRule type="expression" dxfId="2392" priority="161" stopIfTrue="1">
      <formula>IF($S31&lt;2,TRUE,)</formula>
    </cfRule>
  </conditionalFormatting>
  <conditionalFormatting sqref="F31:F32">
    <cfRule type="expression" dxfId="2391" priority="160" stopIfTrue="1">
      <formula>IF($S31&lt;1,TRUE,)</formula>
    </cfRule>
  </conditionalFormatting>
  <conditionalFormatting sqref="O31:O32">
    <cfRule type="expression" dxfId="2390" priority="159" stopIfTrue="1">
      <formula>IF($S31&lt;10,TRUE,)</formula>
    </cfRule>
  </conditionalFormatting>
  <conditionalFormatting sqref="N38:N39">
    <cfRule type="expression" dxfId="2389" priority="157" stopIfTrue="1">
      <formula>IF($S38&lt;9,TRUE,)</formula>
    </cfRule>
  </conditionalFormatting>
  <conditionalFormatting sqref="M38:M39">
    <cfRule type="expression" dxfId="2388" priority="156" stopIfTrue="1">
      <formula>IF($S38&lt;8,TRUE,)</formula>
    </cfRule>
  </conditionalFormatting>
  <conditionalFormatting sqref="L38:L39">
    <cfRule type="expression" dxfId="2387" priority="155" stopIfTrue="1">
      <formula>IF($S38&lt;7,TRUE,)</formula>
    </cfRule>
  </conditionalFormatting>
  <conditionalFormatting sqref="K38:K39">
    <cfRule type="expression" dxfId="2386" priority="154" stopIfTrue="1">
      <formula>IF($S38&lt;6,TRUE,)</formula>
    </cfRule>
  </conditionalFormatting>
  <conditionalFormatting sqref="J38:J39">
    <cfRule type="expression" dxfId="2385" priority="153" stopIfTrue="1">
      <formula>IF($S38&lt;5,TRUE,)</formula>
    </cfRule>
  </conditionalFormatting>
  <conditionalFormatting sqref="I38:I39">
    <cfRule type="expression" dxfId="2384" priority="152" stopIfTrue="1">
      <formula>IF($S38&lt;4,TRUE,)</formula>
    </cfRule>
  </conditionalFormatting>
  <conditionalFormatting sqref="H38:H39">
    <cfRule type="expression" dxfId="2383" priority="151" stopIfTrue="1">
      <formula>IF($S38&lt;3,TRUE,)</formula>
    </cfRule>
  </conditionalFormatting>
  <conditionalFormatting sqref="G38:G39">
    <cfRule type="expression" dxfId="2382" priority="150" stopIfTrue="1">
      <formula>IF($S38&lt;2,TRUE,)</formula>
    </cfRule>
  </conditionalFormatting>
  <conditionalFormatting sqref="F38:F39">
    <cfRule type="expression" dxfId="2381" priority="149" stopIfTrue="1">
      <formula>IF($S38&lt;1,TRUE,)</formula>
    </cfRule>
  </conditionalFormatting>
  <conditionalFormatting sqref="O38:O39">
    <cfRule type="expression" dxfId="2380" priority="148" stopIfTrue="1">
      <formula>IF($S38&lt;10,TRUE,)</formula>
    </cfRule>
  </conditionalFormatting>
  <conditionalFormatting sqref="N56">
    <cfRule type="expression" dxfId="2379" priority="146" stopIfTrue="1">
      <formula>IF($S56&lt;9,TRUE,)</formula>
    </cfRule>
  </conditionalFormatting>
  <conditionalFormatting sqref="M56">
    <cfRule type="expression" dxfId="2378" priority="145" stopIfTrue="1">
      <formula>IF($S56&lt;8,TRUE,)</formula>
    </cfRule>
  </conditionalFormatting>
  <conditionalFormatting sqref="L56">
    <cfRule type="expression" dxfId="2377" priority="144" stopIfTrue="1">
      <formula>IF($S56&lt;7,TRUE,)</formula>
    </cfRule>
  </conditionalFormatting>
  <conditionalFormatting sqref="K56">
    <cfRule type="expression" dxfId="2376" priority="143" stopIfTrue="1">
      <formula>IF($S56&lt;6,TRUE,)</formula>
    </cfRule>
  </conditionalFormatting>
  <conditionalFormatting sqref="J56">
    <cfRule type="expression" dxfId="2375" priority="142" stopIfTrue="1">
      <formula>IF($S56&lt;5,TRUE,)</formula>
    </cfRule>
  </conditionalFormatting>
  <conditionalFormatting sqref="I56">
    <cfRule type="expression" dxfId="2374" priority="141" stopIfTrue="1">
      <formula>IF($S56&lt;4,TRUE,)</formula>
    </cfRule>
  </conditionalFormatting>
  <conditionalFormatting sqref="H56">
    <cfRule type="expression" dxfId="2373" priority="140" stopIfTrue="1">
      <formula>IF($S56&lt;3,TRUE,)</formula>
    </cfRule>
  </conditionalFormatting>
  <conditionalFormatting sqref="G56">
    <cfRule type="expression" dxfId="2372" priority="139" stopIfTrue="1">
      <formula>IF($S56&lt;2,TRUE,)</formula>
    </cfRule>
  </conditionalFormatting>
  <conditionalFormatting sqref="F56">
    <cfRule type="expression" dxfId="2371" priority="138" stopIfTrue="1">
      <formula>IF($S56&lt;1,TRUE,)</formula>
    </cfRule>
  </conditionalFormatting>
  <conditionalFormatting sqref="O56">
    <cfRule type="expression" dxfId="2370" priority="137" stopIfTrue="1">
      <formula>IF($S56&lt;10,TRUE,)</formula>
    </cfRule>
  </conditionalFormatting>
  <conditionalFormatting sqref="N45:N46">
    <cfRule type="expression" dxfId="2369" priority="135" stopIfTrue="1">
      <formula>IF($S45&lt;9,TRUE,)</formula>
    </cfRule>
  </conditionalFormatting>
  <conditionalFormatting sqref="M45:M46">
    <cfRule type="expression" dxfId="2368" priority="134" stopIfTrue="1">
      <formula>IF($S45&lt;8,TRUE,)</formula>
    </cfRule>
  </conditionalFormatting>
  <conditionalFormatting sqref="L45:L46">
    <cfRule type="expression" dxfId="2367" priority="133" stopIfTrue="1">
      <formula>IF($S45&lt;7,TRUE,)</formula>
    </cfRule>
  </conditionalFormatting>
  <conditionalFormatting sqref="K45:K46">
    <cfRule type="expression" dxfId="2366" priority="132" stopIfTrue="1">
      <formula>IF($S45&lt;6,TRUE,)</formula>
    </cfRule>
  </conditionalFormatting>
  <conditionalFormatting sqref="J45:J46">
    <cfRule type="expression" dxfId="2365" priority="131" stopIfTrue="1">
      <formula>IF($S45&lt;5,TRUE,)</formula>
    </cfRule>
  </conditionalFormatting>
  <conditionalFormatting sqref="I45:I46">
    <cfRule type="expression" dxfId="2364" priority="130" stopIfTrue="1">
      <formula>IF($S45&lt;4,TRUE,)</formula>
    </cfRule>
  </conditionalFormatting>
  <conditionalFormatting sqref="H45:H46">
    <cfRule type="expression" dxfId="2363" priority="129" stopIfTrue="1">
      <formula>IF($S45&lt;3,TRUE,)</formula>
    </cfRule>
  </conditionalFormatting>
  <conditionalFormatting sqref="G45:G46">
    <cfRule type="expression" dxfId="2362" priority="128" stopIfTrue="1">
      <formula>IF($S45&lt;2,TRUE,)</formula>
    </cfRule>
  </conditionalFormatting>
  <conditionalFormatting sqref="F45:F46">
    <cfRule type="expression" dxfId="2361" priority="127" stopIfTrue="1">
      <formula>IF($S45&lt;1,TRUE,)</formula>
    </cfRule>
  </conditionalFormatting>
  <conditionalFormatting sqref="O45:O46">
    <cfRule type="expression" dxfId="2360" priority="126" stopIfTrue="1">
      <formula>IF($S45&lt;10,TRUE,)</formula>
    </cfRule>
  </conditionalFormatting>
  <conditionalFormatting sqref="N52:N53">
    <cfRule type="expression" dxfId="2359" priority="124" stopIfTrue="1">
      <formula>IF($S52&lt;9,TRUE,)</formula>
    </cfRule>
  </conditionalFormatting>
  <conditionalFormatting sqref="M52:M53">
    <cfRule type="expression" dxfId="2358" priority="123" stopIfTrue="1">
      <formula>IF($S52&lt;8,TRUE,)</formula>
    </cfRule>
  </conditionalFormatting>
  <conditionalFormatting sqref="L52:L53">
    <cfRule type="expression" dxfId="2357" priority="122" stopIfTrue="1">
      <formula>IF($S52&lt;7,TRUE,)</formula>
    </cfRule>
  </conditionalFormatting>
  <conditionalFormatting sqref="K52:K53">
    <cfRule type="expression" dxfId="2356" priority="121" stopIfTrue="1">
      <formula>IF($S52&lt;6,TRUE,)</formula>
    </cfRule>
  </conditionalFormatting>
  <conditionalFormatting sqref="J52:J53">
    <cfRule type="expression" dxfId="2355" priority="120" stopIfTrue="1">
      <formula>IF($S52&lt;5,TRUE,)</formula>
    </cfRule>
  </conditionalFormatting>
  <conditionalFormatting sqref="I52:I53">
    <cfRule type="expression" dxfId="2354" priority="119" stopIfTrue="1">
      <formula>IF($S52&lt;4,TRUE,)</formula>
    </cfRule>
  </conditionalFormatting>
  <conditionalFormatting sqref="H52:H53">
    <cfRule type="expression" dxfId="2353" priority="118" stopIfTrue="1">
      <formula>IF($S52&lt;3,TRUE,)</formula>
    </cfRule>
  </conditionalFormatting>
  <conditionalFormatting sqref="G52:G53">
    <cfRule type="expression" dxfId="2352" priority="117" stopIfTrue="1">
      <formula>IF($S52&lt;2,TRUE,)</formula>
    </cfRule>
  </conditionalFormatting>
  <conditionalFormatting sqref="F52:F53">
    <cfRule type="expression" dxfId="2351" priority="116" stopIfTrue="1">
      <formula>IF($S52&lt;1,TRUE,)</formula>
    </cfRule>
  </conditionalFormatting>
  <conditionalFormatting sqref="O52:O53">
    <cfRule type="expression" dxfId="2350" priority="115" stopIfTrue="1">
      <formula>IF($S52&lt;10,TRUE,)</formula>
    </cfRule>
  </conditionalFormatting>
  <conditionalFormatting sqref="N47:N48">
    <cfRule type="expression" dxfId="2349" priority="113" stopIfTrue="1">
      <formula>IF($S47&lt;9,TRUE,)</formula>
    </cfRule>
  </conditionalFormatting>
  <conditionalFormatting sqref="M47:M48">
    <cfRule type="expression" dxfId="2348" priority="112" stopIfTrue="1">
      <formula>IF($S47&lt;8,TRUE,)</formula>
    </cfRule>
  </conditionalFormatting>
  <conditionalFormatting sqref="L47:L48">
    <cfRule type="expression" dxfId="2347" priority="111" stopIfTrue="1">
      <formula>IF($S47&lt;7,TRUE,)</formula>
    </cfRule>
  </conditionalFormatting>
  <conditionalFormatting sqref="K47:K48">
    <cfRule type="expression" dxfId="2346" priority="110" stopIfTrue="1">
      <formula>IF($S47&lt;6,TRUE,)</formula>
    </cfRule>
  </conditionalFormatting>
  <conditionalFormatting sqref="J47:J48">
    <cfRule type="expression" dxfId="2345" priority="109" stopIfTrue="1">
      <formula>IF($S47&lt;5,TRUE,)</formula>
    </cfRule>
  </conditionalFormatting>
  <conditionalFormatting sqref="I47:I48">
    <cfRule type="expression" dxfId="2344" priority="108" stopIfTrue="1">
      <formula>IF($S47&lt;4,TRUE,)</formula>
    </cfRule>
  </conditionalFormatting>
  <conditionalFormatting sqref="H47:H48">
    <cfRule type="expression" dxfId="2343" priority="107" stopIfTrue="1">
      <formula>IF($S47&lt;3,TRUE,)</formula>
    </cfRule>
  </conditionalFormatting>
  <conditionalFormatting sqref="G47:G48">
    <cfRule type="expression" dxfId="2342" priority="106" stopIfTrue="1">
      <formula>IF($S47&lt;2,TRUE,)</formula>
    </cfRule>
  </conditionalFormatting>
  <conditionalFormatting sqref="F47:F48">
    <cfRule type="expression" dxfId="2341" priority="105" stopIfTrue="1">
      <formula>IF($S47&lt;1,TRUE,)</formula>
    </cfRule>
  </conditionalFormatting>
  <conditionalFormatting sqref="O47:O48">
    <cfRule type="expression" dxfId="2340" priority="104" stopIfTrue="1">
      <formula>IF($S47&lt;10,TRUE,)</formula>
    </cfRule>
  </conditionalFormatting>
  <conditionalFormatting sqref="N54:N55">
    <cfRule type="expression" dxfId="2339" priority="102" stopIfTrue="1">
      <formula>IF($S54&lt;9,TRUE,)</formula>
    </cfRule>
  </conditionalFormatting>
  <conditionalFormatting sqref="M54:M55">
    <cfRule type="expression" dxfId="2338" priority="101" stopIfTrue="1">
      <formula>IF($S54&lt;8,TRUE,)</formula>
    </cfRule>
  </conditionalFormatting>
  <conditionalFormatting sqref="L54:L55">
    <cfRule type="expression" dxfId="2337" priority="100" stopIfTrue="1">
      <formula>IF($S54&lt;7,TRUE,)</formula>
    </cfRule>
  </conditionalFormatting>
  <conditionalFormatting sqref="K54:K55">
    <cfRule type="expression" dxfId="2336" priority="99" stopIfTrue="1">
      <formula>IF($S54&lt;6,TRUE,)</formula>
    </cfRule>
  </conditionalFormatting>
  <conditionalFormatting sqref="J54:J55">
    <cfRule type="expression" dxfId="2335" priority="98" stopIfTrue="1">
      <formula>IF($S54&lt;5,TRUE,)</formula>
    </cfRule>
  </conditionalFormatting>
  <conditionalFormatting sqref="I54:I55">
    <cfRule type="expression" dxfId="2334" priority="97" stopIfTrue="1">
      <formula>IF($S54&lt;4,TRUE,)</formula>
    </cfRule>
  </conditionalFormatting>
  <conditionalFormatting sqref="H54:H55">
    <cfRule type="expression" dxfId="2333" priority="96" stopIfTrue="1">
      <formula>IF($S54&lt;3,TRUE,)</formula>
    </cfRule>
  </conditionalFormatting>
  <conditionalFormatting sqref="G54:G55">
    <cfRule type="expression" dxfId="2332" priority="95" stopIfTrue="1">
      <formula>IF($S54&lt;2,TRUE,)</formula>
    </cfRule>
  </conditionalFormatting>
  <conditionalFormatting sqref="F54:F55">
    <cfRule type="expression" dxfId="2331" priority="94" stopIfTrue="1">
      <formula>IF($S54&lt;1,TRUE,)</formula>
    </cfRule>
  </conditionalFormatting>
  <conditionalFormatting sqref="O54:O55">
    <cfRule type="expression" dxfId="2330" priority="93" stopIfTrue="1">
      <formula>IF($S54&lt;10,TRUE,)</formula>
    </cfRule>
  </conditionalFormatting>
  <conditionalFormatting sqref="N24">
    <cfRule type="expression" dxfId="2329" priority="91" stopIfTrue="1">
      <formula>IF($S24&lt;9,TRUE,)</formula>
    </cfRule>
  </conditionalFormatting>
  <conditionalFormatting sqref="M24">
    <cfRule type="expression" dxfId="2328" priority="90" stopIfTrue="1">
      <formula>IF($S24&lt;8,TRUE,)</formula>
    </cfRule>
  </conditionalFormatting>
  <conditionalFormatting sqref="L24">
    <cfRule type="expression" dxfId="2327" priority="89" stopIfTrue="1">
      <formula>IF($S24&lt;7,TRUE,)</formula>
    </cfRule>
  </conditionalFormatting>
  <conditionalFormatting sqref="K24">
    <cfRule type="expression" dxfId="2326" priority="88" stopIfTrue="1">
      <formula>IF($S24&lt;6,TRUE,)</formula>
    </cfRule>
  </conditionalFormatting>
  <conditionalFormatting sqref="J24">
    <cfRule type="expression" dxfId="2325" priority="87" stopIfTrue="1">
      <formula>IF($S24&lt;5,TRUE,)</formula>
    </cfRule>
  </conditionalFormatting>
  <conditionalFormatting sqref="I24">
    <cfRule type="expression" dxfId="2324" priority="86" stopIfTrue="1">
      <formula>IF($S24&lt;4,TRUE,)</formula>
    </cfRule>
  </conditionalFormatting>
  <conditionalFormatting sqref="H24">
    <cfRule type="expression" dxfId="2323" priority="85" stopIfTrue="1">
      <formula>IF($S24&lt;3,TRUE,)</formula>
    </cfRule>
  </conditionalFormatting>
  <conditionalFormatting sqref="G24">
    <cfRule type="expression" dxfId="2322" priority="84" stopIfTrue="1">
      <formula>IF($S24&lt;2,TRUE,)</formula>
    </cfRule>
  </conditionalFormatting>
  <conditionalFormatting sqref="F24">
    <cfRule type="expression" dxfId="2321" priority="83" stopIfTrue="1">
      <formula>IF($S24&lt;1,TRUE,)</formula>
    </cfRule>
  </conditionalFormatting>
  <conditionalFormatting sqref="O24">
    <cfRule type="expression" dxfId="2320" priority="82" stopIfTrue="1">
      <formula>IF($S24&lt;10,TRUE,)</formula>
    </cfRule>
  </conditionalFormatting>
  <conditionalFormatting sqref="N24">
    <cfRule type="expression" dxfId="2319" priority="80" stopIfTrue="1">
      <formula>IF($S24&lt;9,TRUE,)</formula>
    </cfRule>
  </conditionalFormatting>
  <conditionalFormatting sqref="M24">
    <cfRule type="expression" dxfId="2318" priority="79" stopIfTrue="1">
      <formula>IF($S24&lt;8,TRUE,)</formula>
    </cfRule>
  </conditionalFormatting>
  <conditionalFormatting sqref="L24">
    <cfRule type="expression" dxfId="2317" priority="78" stopIfTrue="1">
      <formula>IF($S24&lt;7,TRUE,)</formula>
    </cfRule>
  </conditionalFormatting>
  <conditionalFormatting sqref="K24">
    <cfRule type="expression" dxfId="2316" priority="77" stopIfTrue="1">
      <formula>IF($S24&lt;6,TRUE,)</formula>
    </cfRule>
  </conditionalFormatting>
  <conditionalFormatting sqref="J24">
    <cfRule type="expression" dxfId="2315" priority="76" stopIfTrue="1">
      <formula>IF($S24&lt;5,TRUE,)</formula>
    </cfRule>
  </conditionalFormatting>
  <conditionalFormatting sqref="I24">
    <cfRule type="expression" dxfId="2314" priority="75" stopIfTrue="1">
      <formula>IF($S24&lt;4,TRUE,)</formula>
    </cfRule>
  </conditionalFormatting>
  <conditionalFormatting sqref="H24">
    <cfRule type="expression" dxfId="2313" priority="74" stopIfTrue="1">
      <formula>IF($S24&lt;3,TRUE,)</formula>
    </cfRule>
  </conditionalFormatting>
  <conditionalFormatting sqref="G24">
    <cfRule type="expression" dxfId="2312" priority="73" stopIfTrue="1">
      <formula>IF($S24&lt;2,TRUE,)</formula>
    </cfRule>
  </conditionalFormatting>
  <conditionalFormatting sqref="F24">
    <cfRule type="expression" dxfId="2311" priority="72" stopIfTrue="1">
      <formula>IF($S24&lt;1,TRUE,)</formula>
    </cfRule>
  </conditionalFormatting>
  <conditionalFormatting sqref="O24">
    <cfRule type="expression" dxfId="2310" priority="71" stopIfTrue="1">
      <formula>IF($S24&lt;10,TRUE,)</formula>
    </cfRule>
  </conditionalFormatting>
  <conditionalFormatting sqref="N56">
    <cfRule type="expression" dxfId="2309" priority="70" stopIfTrue="1">
      <formula>IF($S56&lt;9,TRUE,)</formula>
    </cfRule>
  </conditionalFormatting>
  <conditionalFormatting sqref="M56">
    <cfRule type="expression" dxfId="2308" priority="69" stopIfTrue="1">
      <formula>IF($S56&lt;8,TRUE,)</formula>
    </cfRule>
  </conditionalFormatting>
  <conditionalFormatting sqref="L56">
    <cfRule type="expression" dxfId="2307" priority="68" stopIfTrue="1">
      <formula>IF($S56&lt;7,TRUE,)</formula>
    </cfRule>
  </conditionalFormatting>
  <conditionalFormatting sqref="K56">
    <cfRule type="expression" dxfId="2306" priority="67" stopIfTrue="1">
      <formula>IF($S56&lt;6,TRUE,)</formula>
    </cfRule>
  </conditionalFormatting>
  <conditionalFormatting sqref="J56">
    <cfRule type="expression" dxfId="2305" priority="66" stopIfTrue="1">
      <formula>IF($S56&lt;5,TRUE,)</formula>
    </cfRule>
  </conditionalFormatting>
  <conditionalFormatting sqref="I56">
    <cfRule type="expression" dxfId="2304" priority="65" stopIfTrue="1">
      <formula>IF($S56&lt;4,TRUE,)</formula>
    </cfRule>
  </conditionalFormatting>
  <conditionalFormatting sqref="H56">
    <cfRule type="expression" dxfId="2303" priority="64" stopIfTrue="1">
      <formula>IF($S56&lt;3,TRUE,)</formula>
    </cfRule>
  </conditionalFormatting>
  <conditionalFormatting sqref="G56">
    <cfRule type="expression" dxfId="2302" priority="63" stopIfTrue="1">
      <formula>IF($S56&lt;2,TRUE,)</formula>
    </cfRule>
  </conditionalFormatting>
  <conditionalFormatting sqref="F56">
    <cfRule type="expression" dxfId="2301" priority="62" stopIfTrue="1">
      <formula>IF($S56&lt;1,TRUE,)</formula>
    </cfRule>
  </conditionalFormatting>
  <conditionalFormatting sqref="O56">
    <cfRule type="expression" dxfId="2300" priority="61" stopIfTrue="1">
      <formula>IF($S56&lt;10,TRUE,)</formula>
    </cfRule>
  </conditionalFormatting>
  <conditionalFormatting sqref="N45:N46">
    <cfRule type="expression" dxfId="2299" priority="60" stopIfTrue="1">
      <formula>IF($S45&lt;9,TRUE,)</formula>
    </cfRule>
  </conditionalFormatting>
  <conditionalFormatting sqref="M45:M46">
    <cfRule type="expression" dxfId="2298" priority="59" stopIfTrue="1">
      <formula>IF($S45&lt;8,TRUE,)</formula>
    </cfRule>
  </conditionalFormatting>
  <conditionalFormatting sqref="L45:L46">
    <cfRule type="expression" dxfId="2297" priority="58" stopIfTrue="1">
      <formula>IF($S45&lt;7,TRUE,)</formula>
    </cfRule>
  </conditionalFormatting>
  <conditionalFormatting sqref="K45:K46">
    <cfRule type="expression" dxfId="2296" priority="57" stopIfTrue="1">
      <formula>IF($S45&lt;6,TRUE,)</formula>
    </cfRule>
  </conditionalFormatting>
  <conditionalFormatting sqref="J45:J46">
    <cfRule type="expression" dxfId="2295" priority="56" stopIfTrue="1">
      <formula>IF($S45&lt;5,TRUE,)</formula>
    </cfRule>
  </conditionalFormatting>
  <conditionalFormatting sqref="I45:I46">
    <cfRule type="expression" dxfId="2294" priority="55" stopIfTrue="1">
      <formula>IF($S45&lt;4,TRUE,)</formula>
    </cfRule>
  </conditionalFormatting>
  <conditionalFormatting sqref="H45:H46">
    <cfRule type="expression" dxfId="2293" priority="54" stopIfTrue="1">
      <formula>IF($S45&lt;3,TRUE,)</formula>
    </cfRule>
  </conditionalFormatting>
  <conditionalFormatting sqref="G45:G46">
    <cfRule type="expression" dxfId="2292" priority="53" stopIfTrue="1">
      <formula>IF($S45&lt;2,TRUE,)</formula>
    </cfRule>
  </conditionalFormatting>
  <conditionalFormatting sqref="F45:F46">
    <cfRule type="expression" dxfId="2291" priority="52" stopIfTrue="1">
      <formula>IF($S45&lt;1,TRUE,)</formula>
    </cfRule>
  </conditionalFormatting>
  <conditionalFormatting sqref="O45:O46">
    <cfRule type="expression" dxfId="2290" priority="51" stopIfTrue="1">
      <formula>IF($S45&lt;10,TRUE,)</formula>
    </cfRule>
  </conditionalFormatting>
  <conditionalFormatting sqref="N52:N53">
    <cfRule type="expression" dxfId="2289" priority="50" stopIfTrue="1">
      <formula>IF($S52&lt;9,TRUE,)</formula>
    </cfRule>
  </conditionalFormatting>
  <conditionalFormatting sqref="M52:M53">
    <cfRule type="expression" dxfId="2288" priority="49" stopIfTrue="1">
      <formula>IF($S52&lt;8,TRUE,)</formula>
    </cfRule>
  </conditionalFormatting>
  <conditionalFormatting sqref="L52:L53">
    <cfRule type="expression" dxfId="2287" priority="48" stopIfTrue="1">
      <formula>IF($S52&lt;7,TRUE,)</formula>
    </cfRule>
  </conditionalFormatting>
  <conditionalFormatting sqref="K52:K53">
    <cfRule type="expression" dxfId="2286" priority="47" stopIfTrue="1">
      <formula>IF($S52&lt;6,TRUE,)</formula>
    </cfRule>
  </conditionalFormatting>
  <conditionalFormatting sqref="J52:J53">
    <cfRule type="expression" dxfId="2285" priority="46" stopIfTrue="1">
      <formula>IF($S52&lt;5,TRUE,)</formula>
    </cfRule>
  </conditionalFormatting>
  <conditionalFormatting sqref="I52:I53">
    <cfRule type="expression" dxfId="2284" priority="45" stopIfTrue="1">
      <formula>IF($S52&lt;4,TRUE,)</formula>
    </cfRule>
  </conditionalFormatting>
  <conditionalFormatting sqref="H52:H53">
    <cfRule type="expression" dxfId="2283" priority="44" stopIfTrue="1">
      <formula>IF($S52&lt;3,TRUE,)</formula>
    </cfRule>
  </conditionalFormatting>
  <conditionalFormatting sqref="G52:G53">
    <cfRule type="expression" dxfId="2282" priority="43" stopIfTrue="1">
      <formula>IF($S52&lt;2,TRUE,)</formula>
    </cfRule>
  </conditionalFormatting>
  <conditionalFormatting sqref="F52:F53">
    <cfRule type="expression" dxfId="2281" priority="42" stopIfTrue="1">
      <formula>IF($S52&lt;1,TRUE,)</formula>
    </cfRule>
  </conditionalFormatting>
  <conditionalFormatting sqref="O52:O53">
    <cfRule type="expression" dxfId="2280" priority="41" stopIfTrue="1">
      <formula>IF($S52&lt;10,TRUE,)</formula>
    </cfRule>
  </conditionalFormatting>
  <conditionalFormatting sqref="N47:N48">
    <cfRule type="expression" dxfId="2279" priority="40" stopIfTrue="1">
      <formula>IF($S47&lt;9,TRUE,)</formula>
    </cfRule>
  </conditionalFormatting>
  <conditionalFormatting sqref="M47:M48">
    <cfRule type="expression" dxfId="2278" priority="39" stopIfTrue="1">
      <formula>IF($S47&lt;8,TRUE,)</formula>
    </cfRule>
  </conditionalFormatting>
  <conditionalFormatting sqref="L47:L48">
    <cfRule type="expression" dxfId="2277" priority="38" stopIfTrue="1">
      <formula>IF($S47&lt;7,TRUE,)</formula>
    </cfRule>
  </conditionalFormatting>
  <conditionalFormatting sqref="K47:K48">
    <cfRule type="expression" dxfId="2276" priority="37" stopIfTrue="1">
      <formula>IF($S47&lt;6,TRUE,)</formula>
    </cfRule>
  </conditionalFormatting>
  <conditionalFormatting sqref="J47:J48">
    <cfRule type="expression" dxfId="2275" priority="36" stopIfTrue="1">
      <formula>IF($S47&lt;5,TRUE,)</formula>
    </cfRule>
  </conditionalFormatting>
  <conditionalFormatting sqref="I47:I48">
    <cfRule type="expression" dxfId="2274" priority="35" stopIfTrue="1">
      <formula>IF($S47&lt;4,TRUE,)</formula>
    </cfRule>
  </conditionalFormatting>
  <conditionalFormatting sqref="H47:H48">
    <cfRule type="expression" dxfId="2273" priority="34" stopIfTrue="1">
      <formula>IF($S47&lt;3,TRUE,)</formula>
    </cfRule>
  </conditionalFormatting>
  <conditionalFormatting sqref="G47:G48">
    <cfRule type="expression" dxfId="2272" priority="33" stopIfTrue="1">
      <formula>IF($S47&lt;2,TRUE,)</formula>
    </cfRule>
  </conditionalFormatting>
  <conditionalFormatting sqref="F47:F48">
    <cfRule type="expression" dxfId="2271" priority="32" stopIfTrue="1">
      <formula>IF($S47&lt;1,TRUE,)</formula>
    </cfRule>
  </conditionalFormatting>
  <conditionalFormatting sqref="O47:O48">
    <cfRule type="expression" dxfId="2270" priority="31" stopIfTrue="1">
      <formula>IF($S47&lt;10,TRUE,)</formula>
    </cfRule>
  </conditionalFormatting>
  <conditionalFormatting sqref="N54:N55">
    <cfRule type="expression" dxfId="2269" priority="30" stopIfTrue="1">
      <formula>IF($S54&lt;9,TRUE,)</formula>
    </cfRule>
  </conditionalFormatting>
  <conditionalFormatting sqref="M54:M55">
    <cfRule type="expression" dxfId="2268" priority="29" stopIfTrue="1">
      <formula>IF($S54&lt;8,TRUE,)</formula>
    </cfRule>
  </conditionalFormatting>
  <conditionalFormatting sqref="L54:L55">
    <cfRule type="expression" dxfId="2267" priority="28" stopIfTrue="1">
      <formula>IF($S54&lt;7,TRUE,)</formula>
    </cfRule>
  </conditionalFormatting>
  <conditionalFormatting sqref="K54:K55">
    <cfRule type="expression" dxfId="2266" priority="27" stopIfTrue="1">
      <formula>IF($S54&lt;6,TRUE,)</formula>
    </cfRule>
  </conditionalFormatting>
  <conditionalFormatting sqref="J54:J55">
    <cfRule type="expression" dxfId="2265" priority="26" stopIfTrue="1">
      <formula>IF($S54&lt;5,TRUE,)</formula>
    </cfRule>
  </conditionalFormatting>
  <conditionalFormatting sqref="I54:I55">
    <cfRule type="expression" dxfId="2264" priority="25" stopIfTrue="1">
      <formula>IF($S54&lt;4,TRUE,)</formula>
    </cfRule>
  </conditionalFormatting>
  <conditionalFormatting sqref="H54:H55">
    <cfRule type="expression" dxfId="2263" priority="24" stopIfTrue="1">
      <formula>IF($S54&lt;3,TRUE,)</formula>
    </cfRule>
  </conditionalFormatting>
  <conditionalFormatting sqref="G54:G55">
    <cfRule type="expression" dxfId="2262" priority="23" stopIfTrue="1">
      <formula>IF($S54&lt;2,TRUE,)</formula>
    </cfRule>
  </conditionalFormatting>
  <conditionalFormatting sqref="F54:F55">
    <cfRule type="expression" dxfId="2261" priority="22" stopIfTrue="1">
      <formula>IF($S54&lt;1,TRUE,)</formula>
    </cfRule>
  </conditionalFormatting>
  <conditionalFormatting sqref="O54:O55">
    <cfRule type="expression" dxfId="2260" priority="21" stopIfTrue="1">
      <formula>IF($S54&lt;10,TRUE,)</formula>
    </cfRule>
  </conditionalFormatting>
  <conditionalFormatting sqref="N56">
    <cfRule type="expression" dxfId="2259" priority="20" stopIfTrue="1">
      <formula>IF($S56&lt;9,TRUE,)</formula>
    </cfRule>
  </conditionalFormatting>
  <conditionalFormatting sqref="M56">
    <cfRule type="expression" dxfId="2258" priority="19" stopIfTrue="1">
      <formula>IF($S56&lt;8,TRUE,)</formula>
    </cfRule>
  </conditionalFormatting>
  <conditionalFormatting sqref="L56">
    <cfRule type="expression" dxfId="2257" priority="18" stopIfTrue="1">
      <formula>IF($S56&lt;7,TRUE,)</formula>
    </cfRule>
  </conditionalFormatting>
  <conditionalFormatting sqref="K56">
    <cfRule type="expression" dxfId="2256" priority="17" stopIfTrue="1">
      <formula>IF($S56&lt;6,TRUE,)</formula>
    </cfRule>
  </conditionalFormatting>
  <conditionalFormatting sqref="J56">
    <cfRule type="expression" dxfId="2255" priority="16" stopIfTrue="1">
      <formula>IF($S56&lt;5,TRUE,)</formula>
    </cfRule>
  </conditionalFormatting>
  <conditionalFormatting sqref="I56">
    <cfRule type="expression" dxfId="2254" priority="15" stopIfTrue="1">
      <formula>IF($S56&lt;4,TRUE,)</formula>
    </cfRule>
  </conditionalFormatting>
  <conditionalFormatting sqref="H56">
    <cfRule type="expression" dxfId="2253" priority="14" stopIfTrue="1">
      <formula>IF($S56&lt;3,TRUE,)</formula>
    </cfRule>
  </conditionalFormatting>
  <conditionalFormatting sqref="G56">
    <cfRule type="expression" dxfId="2252" priority="13" stopIfTrue="1">
      <formula>IF($S56&lt;2,TRUE,)</formula>
    </cfRule>
  </conditionalFormatting>
  <conditionalFormatting sqref="F56">
    <cfRule type="expression" dxfId="2251" priority="12" stopIfTrue="1">
      <formula>IF($S56&lt;1,TRUE,)</formula>
    </cfRule>
  </conditionalFormatting>
  <conditionalFormatting sqref="O56">
    <cfRule type="expression" dxfId="2250" priority="11" stopIfTrue="1">
      <formula>IF($S56&lt;10,TRUE,)</formula>
    </cfRule>
  </conditionalFormatting>
  <conditionalFormatting sqref="N56">
    <cfRule type="expression" dxfId="2249" priority="10" stopIfTrue="1">
      <formula>IF($S56&lt;9,TRUE,)</formula>
    </cfRule>
  </conditionalFormatting>
  <conditionalFormatting sqref="M56">
    <cfRule type="expression" dxfId="2248" priority="9" stopIfTrue="1">
      <formula>IF($S56&lt;8,TRUE,)</formula>
    </cfRule>
  </conditionalFormatting>
  <conditionalFormatting sqref="L56">
    <cfRule type="expression" dxfId="2247" priority="8" stopIfTrue="1">
      <formula>IF($S56&lt;7,TRUE,)</formula>
    </cfRule>
  </conditionalFormatting>
  <conditionalFormatting sqref="K56">
    <cfRule type="expression" dxfId="2246" priority="7" stopIfTrue="1">
      <formula>IF($S56&lt;6,TRUE,)</formula>
    </cfRule>
  </conditionalFormatting>
  <conditionalFormatting sqref="J56">
    <cfRule type="expression" dxfId="2245" priority="6" stopIfTrue="1">
      <formula>IF($S56&lt;5,TRUE,)</formula>
    </cfRule>
  </conditionalFormatting>
  <conditionalFormatting sqref="I56">
    <cfRule type="expression" dxfId="2244" priority="5" stopIfTrue="1">
      <formula>IF($S56&lt;4,TRUE,)</formula>
    </cfRule>
  </conditionalFormatting>
  <conditionalFormatting sqref="H56">
    <cfRule type="expression" dxfId="2243" priority="4" stopIfTrue="1">
      <formula>IF($S56&lt;3,TRUE,)</formula>
    </cfRule>
  </conditionalFormatting>
  <conditionalFormatting sqref="G56">
    <cfRule type="expression" dxfId="2242" priority="3" stopIfTrue="1">
      <formula>IF($S56&lt;2,TRUE,)</formula>
    </cfRule>
  </conditionalFormatting>
  <conditionalFormatting sqref="F56">
    <cfRule type="expression" dxfId="2241" priority="2" stopIfTrue="1">
      <formula>IF($S56&lt;1,TRUE,)</formula>
    </cfRule>
  </conditionalFormatting>
  <conditionalFormatting sqref="O56">
    <cfRule type="expression" dxfId="2240" priority="1" stopIfTrue="1">
      <formula>IF($S56&lt;10,TRUE,)</formula>
    </cfRule>
  </conditionalFormatting>
  <dataValidations xWindow="956" yWindow="562" count="13">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58:P58"/>
    <dataValidation type="list" allowBlank="1" showInputMessage="1" showErrorMessage="1" promptTitle="DROP DOWN LIST" prompt="Select whether the named person is staff, a manager or an administrator. Leave this cell blank if you entered a FUNCTION name or left the name blank." sqref="P36:P39 P13:P16 P20:P23 P29:P32 P52:P55 P45:P48">
      <formula1>R.DDL_DEQStaffRank</formula1>
    </dataValidation>
    <dataValidation allowBlank="1" showInputMessage="1" showErrorMessage="1" promptTitle="ENTER NAME" prompt="Enter the name of the STAFF or FUNCTION involved with IMPLEMENTING the project._x000a_" sqref="D36:D39 D14 D20 D22:D23 D52:D55"/>
    <dataValidation allowBlank="1" showInputMessage="1" showErrorMessage="1" promptTitle="ENTER NAME" prompt="Enter the name of the STAFF or FUNCTION involved with DEVELOPING the project._x000a_" sqref="D45:D48 D15:D16 D13 D29:D32"/>
    <dataValidation type="list" allowBlank="1" showInputMessage="1" showErrorMessage="1" promptTitle="DROP DOWN LIST" prompt="Select a range of hours from the drop down list that best describes how involved this resource will be in DEVELOPING this project." sqref="E45:E48 E13:E16 E29:E32">
      <formula1>R.DDL_DEQResourcesInvolved</formula1>
    </dataValidation>
    <dataValidation type="list" allowBlank="1" showInputMessage="1" showErrorMessage="1" promptTitle="DROP DOWN LIST" prompt="Select a range of hours from the drop down list that best describes how involved this resource will be in IMPLEMENTING this project." sqref="E36:E39 E20:E23 E52:E55">
      <formula1>R.DDL_DEQResourcesInvolved</formula1>
    </dataValidation>
    <dataValidation type="list" allowBlank="1" showInputMessage="1" showErrorMessage="1" sqref="P57">
      <formula1>R.DDL_DEQStaffRank</formula1>
    </dataValidation>
    <dataValidation type="textLength" allowBlank="1" showInputMessage="1" showErrorMessage="1" promptTitle="DESCRIBE INVOLVEMENT" prompt="_x000a_Describe how this resource would be involved with the proposal during the development phase of the rule._x000a_" sqref="D43:P43 D27:P27">
      <formula1>0</formula1>
      <formula2>5000</formula2>
    </dataValidation>
    <dataValidation type="textLength" allowBlank="1" showInputMessage="1" showErrorMessage="1" promptTitle="DESCRIBE INVOLVEMENT" prompt="_x000a_Describe how this resource would be involved with the proposal during the implementation phase of the rule." sqref="D34:P34">
      <formula1>0</formula1>
      <formula2>5000</formula2>
    </dataValidation>
    <dataValidation allowBlank="1" showInputMessage="1" showErrorMessage="1" promptTitle="DESCRIBE INVOLVEMENT" prompt="_x000a_Describe how this resource would be involved with the proposal during the implementation phase of the rule." sqref="D50:P50"/>
    <dataValidation type="textLength" allowBlank="1" showInputMessage="1" showErrorMessage="1" promptTitle="DESCRIBE INVOLVEMENT" prompt="_x000a_Describe how this resource would be involved with the proposal during the development phase of the rule." sqref="D11:P11">
      <formula1>0</formula1>
      <formula2>5000</formula2>
    </dataValidation>
    <dataValidation type="textLength" allowBlank="1" showInputMessage="1" showErrorMessage="1" promptTitle="DESCRIBE INVOLVEMENT" prompt="Describe how this resource would be involved with the proposal during the implementation phase of the rule." sqref="D18:P18">
      <formula1>0</formula1>
      <formula2>5000</formula2>
    </dataValidation>
    <dataValidation allowBlank="1" showErrorMessage="1" sqref="D7:P7"/>
  </dataValidations>
  <hyperlinks>
    <hyperlink ref="A1" location="R.0Header" display="⧀ Go to Content"/>
    <hyperlink ref="A2" r:id="rId1" display="⧁ on Q-net"/>
    <hyperlink ref="A9" r:id="rId2" display="⧁ on Q-net"/>
    <hyperlink ref="A25" r:id="rId3" display="⧀ on Q-net"/>
    <hyperlink ref="A41" r:id="rId4" display="⧀ on Q-net"/>
    <hyperlink ref="A59" location="R.7Header" display="Go to Top"/>
  </hyperlinks>
  <pageMargins left="0.7" right="0.7" top="0.75" bottom="0.75" header="0.3" footer="0.3"/>
  <pageSetup scale="89" orientation="portrait" horizontalDpi="4294967293" verticalDpi="4294967293" r:id="rId5"/>
  <rowBreaks count="1" manualBreakCount="1">
    <brk id="24" min="2" max="16" man="1"/>
  </rowBreaks>
  <drawing r:id="rId6"/>
  <legacyDrawing r:id="rId7"/>
</worksheet>
</file>

<file path=xl/worksheets/sheet12.xml><?xml version="1.0" encoding="utf-8"?>
<worksheet xmlns="http://schemas.openxmlformats.org/spreadsheetml/2006/main" xmlns:r="http://schemas.openxmlformats.org/officeDocument/2006/relationships">
  <sheetPr codeName="Sheet14"/>
  <dimension ref="A1:AG70"/>
  <sheetViews>
    <sheetView showGridLines="0" topLeftCell="A14" zoomScaleNormal="100" workbookViewId="0">
      <selection activeCell="E15" sqref="E15"/>
    </sheetView>
  </sheetViews>
  <sheetFormatPr defaultColWidth="9" defaultRowHeight="20.25" outlineLevelRow="1" outlineLevelCol="1"/>
  <cols>
    <col min="1" max="1" width="13.75" style="310" customWidth="1"/>
    <col min="2" max="2" width="2.625" customWidth="1"/>
    <col min="3" max="3" width="2.625" style="44" customWidth="1"/>
    <col min="4" max="4" width="40.5" style="56" customWidth="1"/>
    <col min="5" max="5" width="15.75" style="56" customWidth="1"/>
    <col min="6" max="15" width="1.625" style="56" customWidth="1"/>
    <col min="16" max="16" width="15.75" style="56" customWidth="1"/>
    <col min="17" max="17" width="2.625" style="56" customWidth="1"/>
    <col min="18" max="18" width="2.625" style="64" customWidth="1"/>
    <col min="19" max="19" width="9" style="113" hidden="1" customWidth="1" outlineLevel="1"/>
    <col min="20" max="20" width="14.875" style="64" hidden="1" customWidth="1" outlineLevel="1"/>
    <col min="21" max="21" width="14.625" style="64" hidden="1" customWidth="1" outlineLevel="1"/>
    <col min="22" max="22" width="26.5" style="64" customWidth="1" collapsed="1"/>
    <col min="23" max="23" width="16.5" style="64" customWidth="1"/>
    <col min="24" max="24" width="18" style="64" customWidth="1"/>
    <col min="25" max="32" width="31.125" style="64" customWidth="1"/>
    <col min="33" max="33" width="31.125" style="56" customWidth="1"/>
    <col min="34" max="16384" width="9" style="56"/>
  </cols>
  <sheetData>
    <row r="1" spans="1:33" s="64" customFormat="1" ht="20.25" customHeight="1">
      <c r="A1" s="350" t="s">
        <v>104</v>
      </c>
      <c r="B1" s="334"/>
      <c r="C1" s="334"/>
      <c r="D1" s="334"/>
      <c r="E1" s="334"/>
      <c r="F1" s="334"/>
      <c r="G1" s="334"/>
      <c r="H1" s="334"/>
      <c r="I1" s="334"/>
      <c r="J1" s="334"/>
      <c r="K1" s="334"/>
      <c r="L1" s="334"/>
      <c r="M1" s="334"/>
      <c r="N1" s="334"/>
      <c r="O1" s="334"/>
      <c r="P1" s="334"/>
      <c r="Q1" s="334"/>
      <c r="R1" s="334"/>
      <c r="S1" s="113"/>
    </row>
    <row r="2" spans="1:33" s="6" customFormat="1" ht="30" customHeight="1" thickBot="1">
      <c r="A2" s="316"/>
      <c r="B2" s="334"/>
      <c r="C2" s="332">
        <v>8</v>
      </c>
      <c r="D2" s="331" t="s">
        <v>59</v>
      </c>
      <c r="E2" s="698" t="str">
        <f>R.1MediaAndLongName</f>
        <v>CP Division 12 Updates</v>
      </c>
      <c r="F2" s="698"/>
      <c r="G2" s="698"/>
      <c r="H2" s="698"/>
      <c r="I2" s="698"/>
      <c r="J2" s="698"/>
      <c r="K2" s="698"/>
      <c r="L2" s="698"/>
      <c r="M2" s="698"/>
      <c r="N2" s="698"/>
      <c r="O2" s="698"/>
      <c r="P2" s="698"/>
      <c r="Q2" s="154"/>
      <c r="R2" s="334"/>
      <c r="S2" s="66"/>
      <c r="T2" s="66"/>
      <c r="U2" s="66"/>
      <c r="V2" s="120" t="s">
        <v>0</v>
      </c>
      <c r="W2" s="64"/>
      <c r="X2" s="64"/>
      <c r="Y2" s="64"/>
      <c r="Z2" s="64"/>
      <c r="AA2" s="64"/>
      <c r="AB2" s="64"/>
      <c r="AC2" s="64"/>
      <c r="AD2" s="66"/>
      <c r="AE2" s="66"/>
      <c r="AF2" s="66"/>
    </row>
    <row r="3" spans="1:33" s="6" customFormat="1" ht="20.25" customHeight="1" thickTop="1">
      <c r="A3" s="316"/>
      <c r="B3" s="334"/>
      <c r="C3" s="155"/>
      <c r="D3" s="96"/>
      <c r="E3" s="96"/>
      <c r="F3" s="82"/>
      <c r="G3" s="164"/>
      <c r="H3" s="164"/>
      <c r="I3" s="164"/>
      <c r="J3" s="97"/>
      <c r="K3" s="13"/>
      <c r="L3" s="13"/>
      <c r="M3" s="699" t="s">
        <v>57</v>
      </c>
      <c r="N3" s="699"/>
      <c r="O3" s="699"/>
      <c r="P3" s="699"/>
      <c r="Q3" s="156"/>
      <c r="R3" s="334"/>
      <c r="S3" s="357" t="str">
        <f>"R."&amp;$C$2&amp;"StaffCount"</f>
        <v>R.8StaffCount</v>
      </c>
      <c r="T3" s="357" t="str">
        <f>"R."&amp;$C$2&amp;"LowHrs"</f>
        <v>R.8LowHrs</v>
      </c>
      <c r="U3" s="360" t="str">
        <f>"R."&amp;$C$2&amp;"HighHrs"</f>
        <v>R.8HighHrs</v>
      </c>
      <c r="V3" s="120"/>
      <c r="W3" s="64"/>
      <c r="X3" s="64"/>
      <c r="Y3" s="64"/>
      <c r="Z3" s="64"/>
      <c r="AA3" s="64"/>
      <c r="AB3" s="64"/>
      <c r="AC3" s="64"/>
      <c r="AD3" s="66"/>
      <c r="AE3" s="66"/>
      <c r="AF3" s="66"/>
    </row>
    <row r="4" spans="1:33" s="6" customFormat="1" ht="20.25" customHeight="1">
      <c r="A4" s="316"/>
      <c r="B4" s="334"/>
      <c r="C4" s="155"/>
      <c r="D4" s="494" t="s">
        <v>55</v>
      </c>
      <c r="E4" s="81">
        <f>S4</f>
        <v>1</v>
      </c>
      <c r="F4" s="700" t="s">
        <v>54</v>
      </c>
      <c r="G4" s="700"/>
      <c r="H4" s="700"/>
      <c r="I4" s="700"/>
      <c r="J4" s="700"/>
      <c r="K4" s="700"/>
      <c r="L4" s="700"/>
      <c r="M4" s="701" t="str">
        <f>S5</f>
        <v>1-8</v>
      </c>
      <c r="N4" s="701"/>
      <c r="O4" s="701"/>
      <c r="P4" s="701"/>
      <c r="Q4" s="156"/>
      <c r="R4" s="334"/>
      <c r="S4" s="354">
        <f>COUNTIFS(S15:S57,"&gt;0")</f>
        <v>1</v>
      </c>
      <c r="T4" s="355">
        <f>SUM(T15:T57)</f>
        <v>1</v>
      </c>
      <c r="U4" s="355">
        <f>SUM(U15:U57)</f>
        <v>8</v>
      </c>
      <c r="V4" s="120"/>
      <c r="W4" s="64"/>
      <c r="X4" s="64"/>
      <c r="Y4" s="64"/>
      <c r="Z4" s="64"/>
      <c r="AA4" s="64"/>
      <c r="AB4" s="64"/>
      <c r="AC4" s="64"/>
      <c r="AD4" s="66"/>
      <c r="AE4" s="66"/>
      <c r="AF4" s="66"/>
    </row>
    <row r="5" spans="1:33" s="6" customFormat="1" ht="20.25" customHeight="1">
      <c r="A5" s="316"/>
      <c r="B5" s="334"/>
      <c r="C5" s="155"/>
      <c r="D5" s="494" t="s">
        <v>68</v>
      </c>
      <c r="E5" s="98">
        <f>R.AvgHrDEQCost</f>
        <v>58</v>
      </c>
      <c r="F5" s="700" t="s">
        <v>58</v>
      </c>
      <c r="G5" s="700"/>
      <c r="H5" s="700"/>
      <c r="I5" s="700"/>
      <c r="J5" s="700"/>
      <c r="K5" s="700"/>
      <c r="L5" s="700"/>
      <c r="M5" s="702" t="str">
        <f>S6</f>
        <v>$58-464</v>
      </c>
      <c r="N5" s="702"/>
      <c r="O5" s="702"/>
      <c r="P5" s="702"/>
      <c r="Q5" s="156"/>
      <c r="R5" s="334"/>
      <c r="S5" s="358" t="str">
        <f>IF(R.8StaffCount=0,"0",IF(R.8LowHrs=0,"0-"&amp;TEXT(R.8HighHrs,"#,###"),TEXT(R.8LowHrs,"#,###")&amp;"-"&amp;TEXT(R.8HighHrs,"#,###")))</f>
        <v>1-8</v>
      </c>
      <c r="T5" s="359" t="str">
        <f>"R."&amp;$C$2&amp;"LowDollars"</f>
        <v>R.8LowDollars</v>
      </c>
      <c r="U5" s="361" t="str">
        <f>"R."&amp;$C$2&amp;"HighDollars"</f>
        <v>R.8HighDollars</v>
      </c>
      <c r="V5" s="120"/>
      <c r="W5" s="64"/>
      <c r="X5" s="64"/>
      <c r="Y5" s="64"/>
      <c r="Z5" s="64"/>
      <c r="AA5" s="64"/>
      <c r="AB5" s="64"/>
      <c r="AC5" s="64"/>
      <c r="AD5" s="66"/>
      <c r="AE5" s="66"/>
      <c r="AF5" s="66"/>
    </row>
    <row r="6" spans="1:33" s="6" customFormat="1" ht="14.25" customHeight="1">
      <c r="A6" s="316"/>
      <c r="B6" s="334"/>
      <c r="C6" s="155"/>
      <c r="D6" s="744" t="s">
        <v>175</v>
      </c>
      <c r="E6" s="744"/>
      <c r="F6" s="744"/>
      <c r="G6" s="744"/>
      <c r="H6" s="744"/>
      <c r="I6" s="744"/>
      <c r="J6" s="744"/>
      <c r="K6" s="744"/>
      <c r="L6" s="744"/>
      <c r="M6" s="744"/>
      <c r="N6" s="744"/>
      <c r="O6" s="744"/>
      <c r="P6" s="744"/>
      <c r="Q6" s="156"/>
      <c r="R6" s="334"/>
      <c r="S6" s="495" t="str">
        <f>IF(R.8StaffCount=0,"$0",IF(R.8LowDollars=0,"$0-"&amp;TEXT(R.8HighDollars,"#,###"),TEXT(R.8LowDollars,"$#,###")&amp;"-"&amp;TEXT(R.8HighDollars,"#,###")))</f>
        <v>$58-464</v>
      </c>
      <c r="T6" s="356">
        <f>T4*E5</f>
        <v>58</v>
      </c>
      <c r="U6" s="356">
        <f>U4*E5</f>
        <v>464</v>
      </c>
      <c r="V6" s="120"/>
      <c r="W6" s="64"/>
      <c r="X6" s="64"/>
      <c r="Y6" s="64"/>
      <c r="Z6" s="64"/>
      <c r="AA6" s="64"/>
      <c r="AB6" s="64"/>
      <c r="AC6" s="64"/>
      <c r="AD6" s="66"/>
      <c r="AE6" s="66"/>
      <c r="AF6" s="66"/>
    </row>
    <row r="7" spans="1:33" s="6" customFormat="1" ht="105" customHeight="1">
      <c r="A7" s="316"/>
      <c r="B7" s="334"/>
      <c r="C7" s="155"/>
      <c r="D7" s="730" t="s">
        <v>245</v>
      </c>
      <c r="E7" s="731"/>
      <c r="F7" s="731"/>
      <c r="G7" s="731"/>
      <c r="H7" s="731"/>
      <c r="I7" s="731"/>
      <c r="J7" s="731"/>
      <c r="K7" s="731"/>
      <c r="L7" s="731"/>
      <c r="M7" s="731"/>
      <c r="N7" s="731"/>
      <c r="O7" s="731"/>
      <c r="P7" s="732"/>
      <c r="Q7" s="156"/>
      <c r="R7" s="334"/>
      <c r="S7" s="496">
        <f>AVERAGEIF(S15:S57,"&gt;0")</f>
        <v>1</v>
      </c>
      <c r="T7" s="493"/>
      <c r="U7" s="493"/>
      <c r="V7" s="120"/>
      <c r="W7" s="436"/>
      <c r="X7" s="436"/>
      <c r="Y7" s="436"/>
      <c r="Z7" s="436"/>
      <c r="AA7" s="436"/>
      <c r="AB7" s="436"/>
      <c r="AC7" s="436"/>
      <c r="AD7" s="66"/>
      <c r="AE7" s="66"/>
      <c r="AF7" s="66"/>
    </row>
    <row r="8" spans="1:33" s="6" customFormat="1" ht="20.25" customHeight="1">
      <c r="A8" s="316"/>
      <c r="B8" s="334"/>
      <c r="C8" s="155"/>
      <c r="D8" s="748" t="s">
        <v>177</v>
      </c>
      <c r="E8" s="748"/>
      <c r="F8" s="748"/>
      <c r="G8" s="748"/>
      <c r="H8" s="748"/>
      <c r="I8" s="748"/>
      <c r="J8" s="748"/>
      <c r="K8" s="748"/>
      <c r="L8" s="748"/>
      <c r="M8" s="748"/>
      <c r="N8" s="748"/>
      <c r="O8" s="748"/>
      <c r="P8" s="748"/>
      <c r="Q8" s="156"/>
      <c r="R8" s="334"/>
      <c r="T8" s="493"/>
      <c r="U8" s="493"/>
      <c r="V8" s="120"/>
      <c r="W8" s="436"/>
      <c r="X8" s="436"/>
      <c r="Y8" s="436"/>
      <c r="Z8" s="436"/>
      <c r="AA8" s="436"/>
      <c r="AB8" s="436"/>
      <c r="AC8" s="436"/>
      <c r="AD8" s="66"/>
      <c r="AE8" s="66"/>
      <c r="AF8" s="66"/>
    </row>
    <row r="9" spans="1:33" s="28" customFormat="1" ht="15.75" customHeight="1">
      <c r="A9" s="345"/>
      <c r="B9" s="440"/>
      <c r="C9" s="138"/>
      <c r="D9" s="745" t="s">
        <v>469</v>
      </c>
      <c r="E9" s="746"/>
      <c r="F9" s="746"/>
      <c r="G9" s="746"/>
      <c r="H9" s="746"/>
      <c r="I9" s="746"/>
      <c r="J9" s="746"/>
      <c r="K9" s="746"/>
      <c r="L9" s="746"/>
      <c r="M9" s="746"/>
      <c r="N9" s="746"/>
      <c r="O9" s="746"/>
      <c r="P9" s="747"/>
      <c r="Q9" s="139"/>
      <c r="R9" s="440"/>
      <c r="S9" s="463"/>
      <c r="T9"/>
      <c r="U9" s="441"/>
      <c r="V9" s="438"/>
      <c r="W9" s="438"/>
      <c r="X9" s="438"/>
      <c r="Y9" s="438"/>
      <c r="Z9" s="438"/>
      <c r="AA9" s="438"/>
      <c r="AB9" s="438"/>
      <c r="AC9" s="438"/>
      <c r="AD9" s="130"/>
      <c r="AE9" s="130"/>
      <c r="AF9" s="130"/>
      <c r="AG9" s="130"/>
    </row>
    <row r="10" spans="1:33" s="69" customFormat="1" ht="8.25" customHeight="1">
      <c r="A10" s="317"/>
      <c r="B10" s="334"/>
      <c r="C10" s="404"/>
      <c r="D10" s="405"/>
      <c r="E10" s="405"/>
      <c r="F10" s="405"/>
      <c r="G10" s="405"/>
      <c r="H10" s="405"/>
      <c r="I10" s="405"/>
      <c r="J10" s="405"/>
      <c r="K10" s="405"/>
      <c r="L10" s="405"/>
      <c r="M10" s="405"/>
      <c r="N10" s="405"/>
      <c r="O10" s="405"/>
      <c r="P10" s="405"/>
      <c r="Q10" s="406"/>
      <c r="R10" s="334"/>
      <c r="S10" s="712"/>
      <c r="T10" s="712"/>
      <c r="U10" s="712"/>
      <c r="V10" s="126"/>
      <c r="W10" s="126"/>
      <c r="X10" s="126"/>
      <c r="Y10" s="126"/>
      <c r="Z10" s="126"/>
      <c r="AA10" s="126"/>
      <c r="AB10" s="126"/>
      <c r="AC10" s="126"/>
      <c r="AD10" s="125"/>
      <c r="AE10" s="125"/>
      <c r="AF10" s="125"/>
    </row>
    <row r="11" spans="1:33" s="33" customFormat="1" ht="30" customHeight="1">
      <c r="A11" s="350" t="s">
        <v>107</v>
      </c>
      <c r="B11" s="334"/>
      <c r="C11" s="480" t="s">
        <v>0</v>
      </c>
      <c r="D11" s="304" t="s">
        <v>146</v>
      </c>
      <c r="E11" s="94"/>
      <c r="F11" s="94"/>
      <c r="G11" s="94"/>
      <c r="H11" s="94"/>
      <c r="I11" s="94"/>
      <c r="J11" s="94"/>
      <c r="K11" s="94"/>
      <c r="L11" s="94"/>
      <c r="M11" s="94"/>
      <c r="N11" s="94"/>
      <c r="O11" s="94"/>
      <c r="P11" s="94"/>
      <c r="Q11" s="137"/>
      <c r="R11" s="334"/>
      <c r="S11" s="125"/>
      <c r="T11" s="125"/>
      <c r="U11" s="125"/>
      <c r="V11" s="129"/>
      <c r="W11" s="129"/>
      <c r="X11" s="129"/>
      <c r="Y11" s="129"/>
      <c r="Z11" s="129"/>
      <c r="AA11" s="129"/>
      <c r="AB11" s="129"/>
      <c r="AC11" s="129"/>
      <c r="AD11" s="127"/>
      <c r="AE11" s="127"/>
      <c r="AF11" s="127"/>
    </row>
    <row r="12" spans="1:33" s="33" customFormat="1" ht="14.25" customHeight="1">
      <c r="A12" s="318"/>
      <c r="B12" s="334"/>
      <c r="C12" s="232"/>
      <c r="D12" s="443" t="s">
        <v>53</v>
      </c>
      <c r="E12" s="94"/>
      <c r="F12" s="94"/>
      <c r="G12" s="94"/>
      <c r="H12" s="94"/>
      <c r="I12" s="94"/>
      <c r="J12" s="94"/>
      <c r="K12" s="94"/>
      <c r="L12" s="94"/>
      <c r="M12" s="94"/>
      <c r="N12" s="94"/>
      <c r="O12" s="94"/>
      <c r="P12" s="94"/>
      <c r="Q12" s="137"/>
      <c r="R12" s="334"/>
      <c r="S12" s="242"/>
      <c r="T12" s="127"/>
      <c r="U12" s="127"/>
      <c r="V12" s="230"/>
      <c r="W12" s="230"/>
      <c r="X12" s="230"/>
      <c r="Y12" s="230"/>
      <c r="Z12" s="230"/>
      <c r="AA12" s="230"/>
      <c r="AB12" s="230"/>
      <c r="AC12" s="230"/>
      <c r="AD12" s="127"/>
      <c r="AE12" s="127"/>
      <c r="AF12" s="127"/>
    </row>
    <row r="13" spans="1:33" s="28" customFormat="1" ht="15.75" customHeight="1">
      <c r="A13" s="317"/>
      <c r="B13" s="334"/>
      <c r="C13" s="138"/>
      <c r="D13" s="719" t="s">
        <v>176</v>
      </c>
      <c r="E13" s="720"/>
      <c r="F13" s="720"/>
      <c r="G13" s="720"/>
      <c r="H13" s="720"/>
      <c r="I13" s="720"/>
      <c r="J13" s="720"/>
      <c r="K13" s="720"/>
      <c r="L13" s="720"/>
      <c r="M13" s="720"/>
      <c r="N13" s="720"/>
      <c r="O13" s="720"/>
      <c r="P13" s="721"/>
      <c r="Q13" s="139"/>
      <c r="R13" s="334"/>
      <c r="S13" s="131"/>
      <c r="T13" s="130"/>
      <c r="U13" s="130"/>
      <c r="V13" s="64"/>
      <c r="W13" s="64"/>
      <c r="X13" s="64"/>
      <c r="Y13" s="64"/>
      <c r="Z13" s="64"/>
      <c r="AA13" s="64"/>
      <c r="AB13" s="64"/>
      <c r="AC13" s="64"/>
      <c r="AD13" s="130"/>
      <c r="AE13" s="130"/>
      <c r="AF13" s="130"/>
    </row>
    <row r="14" spans="1:33" s="33" customFormat="1" ht="14.25" customHeight="1">
      <c r="A14" s="318"/>
      <c r="B14" s="334"/>
      <c r="C14" s="233"/>
      <c r="D14" s="497" t="s">
        <v>60</v>
      </c>
      <c r="E14" s="393" t="s">
        <v>18</v>
      </c>
      <c r="F14" s="733" t="s">
        <v>19</v>
      </c>
      <c r="G14" s="733"/>
      <c r="H14" s="733"/>
      <c r="I14" s="733"/>
      <c r="J14" s="733"/>
      <c r="K14" s="733"/>
      <c r="L14" s="733"/>
      <c r="M14" s="733"/>
      <c r="N14" s="733"/>
      <c r="O14" s="733"/>
      <c r="P14" s="393" t="s">
        <v>20</v>
      </c>
      <c r="Q14" s="137"/>
      <c r="R14" s="334"/>
      <c r="S14" s="228"/>
      <c r="T14" s="229"/>
      <c r="U14" s="229"/>
      <c r="V14" s="230"/>
      <c r="W14" s="230"/>
      <c r="X14" s="230"/>
      <c r="Y14" s="230"/>
      <c r="Z14" s="230"/>
      <c r="AA14" s="230"/>
      <c r="AB14" s="230"/>
      <c r="AC14" s="230"/>
      <c r="AD14" s="127"/>
      <c r="AE14" s="127"/>
      <c r="AF14" s="127"/>
    </row>
    <row r="15" spans="1:33" s="28" customFormat="1" ht="20.25" customHeight="1">
      <c r="A15" s="317"/>
      <c r="B15" s="334"/>
      <c r="C15" s="138"/>
      <c r="D15" s="36" t="s">
        <v>174</v>
      </c>
      <c r="E15" s="30" t="s">
        <v>231</v>
      </c>
      <c r="F15" s="71">
        <v>1</v>
      </c>
      <c r="G15" s="72">
        <v>2</v>
      </c>
      <c r="H15" s="73">
        <v>3</v>
      </c>
      <c r="I15" s="74">
        <v>4</v>
      </c>
      <c r="J15" s="75">
        <v>5</v>
      </c>
      <c r="K15" s="76">
        <v>6</v>
      </c>
      <c r="L15" s="77">
        <v>7</v>
      </c>
      <c r="M15" s="78">
        <v>8</v>
      </c>
      <c r="N15" s="79">
        <v>9</v>
      </c>
      <c r="O15" s="80">
        <v>10</v>
      </c>
      <c r="P15" s="32" t="s">
        <v>15</v>
      </c>
      <c r="Q15" s="139"/>
      <c r="R15" s="334"/>
      <c r="S15" s="133">
        <f>VLOOKUP($E15,R.VL_DEQResourcesInvolved,2,FALSE)</f>
        <v>1</v>
      </c>
      <c r="T15" s="121">
        <f>VLOOKUP($E15,R.VL_DEQResourcesInvolved,3,FALSE)</f>
        <v>1</v>
      </c>
      <c r="U15" s="121">
        <f>IF(S15=10,T15,VLOOKUP($E15,R.VL_DEQResourcesInvolved,4,FALSE))</f>
        <v>8</v>
      </c>
      <c r="V15" s="575" t="s">
        <v>554</v>
      </c>
      <c r="W15" s="64"/>
      <c r="X15" s="64"/>
      <c r="Y15" s="64"/>
      <c r="Z15" s="64"/>
      <c r="AA15" s="64"/>
      <c r="AB15" s="64"/>
      <c r="AC15" s="64"/>
      <c r="AD15" s="130"/>
      <c r="AE15" s="130"/>
      <c r="AF15" s="130"/>
    </row>
    <row r="16" spans="1:33" s="28" customFormat="1" ht="20.25" hidden="1" customHeight="1" outlineLevel="1">
      <c r="A16" s="317"/>
      <c r="B16" s="334"/>
      <c r="C16" s="138"/>
      <c r="D16" s="36" t="s">
        <v>0</v>
      </c>
      <c r="E16" s="30" t="s">
        <v>229</v>
      </c>
      <c r="F16" s="71">
        <v>1</v>
      </c>
      <c r="G16" s="72">
        <v>2</v>
      </c>
      <c r="H16" s="73">
        <v>3</v>
      </c>
      <c r="I16" s="74">
        <v>4</v>
      </c>
      <c r="J16" s="75">
        <v>5</v>
      </c>
      <c r="K16" s="76">
        <v>6</v>
      </c>
      <c r="L16" s="77">
        <v>7</v>
      </c>
      <c r="M16" s="78">
        <v>8</v>
      </c>
      <c r="N16" s="79">
        <v>9</v>
      </c>
      <c r="O16" s="80">
        <v>10</v>
      </c>
      <c r="P16" s="32"/>
      <c r="Q16" s="139"/>
      <c r="R16" s="334"/>
      <c r="S16" s="133">
        <f>VLOOKUP($E16,R.VL_DEQResourcesInvolved,2,FALSE)</f>
        <v>0</v>
      </c>
      <c r="T16" s="121">
        <f>VLOOKUP($E16,R.VL_DEQResourcesInvolved,3,FALSE)</f>
        <v>0</v>
      </c>
      <c r="U16" s="121">
        <f>IF(S16=10,T16,VLOOKUP($E16,R.VL_DEQResourcesInvolved,4,FALSE))</f>
        <v>0</v>
      </c>
      <c r="V16" s="64"/>
      <c r="W16" s="64"/>
      <c r="X16" s="64"/>
      <c r="Y16" s="64"/>
      <c r="Z16" s="64"/>
      <c r="AA16" s="64"/>
      <c r="AB16" s="64"/>
      <c r="AC16" s="64"/>
      <c r="AD16" s="130"/>
      <c r="AE16" s="130"/>
      <c r="AF16" s="130"/>
    </row>
    <row r="17" spans="1:32" s="28" customFormat="1" ht="20.25" hidden="1" customHeight="1" outlineLevel="1">
      <c r="A17" s="317"/>
      <c r="B17" s="334"/>
      <c r="C17" s="138"/>
      <c r="D17" s="36" t="s">
        <v>0</v>
      </c>
      <c r="E17" s="30" t="s">
        <v>229</v>
      </c>
      <c r="F17" s="71">
        <v>1</v>
      </c>
      <c r="G17" s="72">
        <v>2</v>
      </c>
      <c r="H17" s="73">
        <v>3</v>
      </c>
      <c r="I17" s="74">
        <v>4</v>
      </c>
      <c r="J17" s="75">
        <v>5</v>
      </c>
      <c r="K17" s="76">
        <v>6</v>
      </c>
      <c r="L17" s="77">
        <v>7</v>
      </c>
      <c r="M17" s="78">
        <v>8</v>
      </c>
      <c r="N17" s="79">
        <v>9</v>
      </c>
      <c r="O17" s="80">
        <v>10</v>
      </c>
      <c r="P17" s="32" t="s">
        <v>0</v>
      </c>
      <c r="Q17" s="139"/>
      <c r="R17" s="334"/>
      <c r="S17" s="133">
        <f>VLOOKUP($E17,R.VL_DEQResourcesInvolved,2,FALSE)</f>
        <v>0</v>
      </c>
      <c r="T17" s="121">
        <f>VLOOKUP($E17,R.VL_DEQResourcesInvolved,3,FALSE)</f>
        <v>0</v>
      </c>
      <c r="U17" s="121">
        <f>IF(S17=10,T17,VLOOKUP($E17,R.VL_DEQResourcesInvolved,4,FALSE))</f>
        <v>0</v>
      </c>
      <c r="V17" s="64"/>
      <c r="W17" s="64"/>
      <c r="X17" s="64"/>
      <c r="Y17" s="64"/>
      <c r="Z17" s="64"/>
      <c r="AA17" s="64"/>
      <c r="AB17" s="64"/>
      <c r="AC17" s="64"/>
      <c r="AD17" s="130"/>
      <c r="AE17" s="130"/>
      <c r="AF17" s="130"/>
    </row>
    <row r="18" spans="1:32" s="28" customFormat="1" ht="20.25" hidden="1" customHeight="1" outlineLevel="1">
      <c r="A18" s="317"/>
      <c r="B18" s="334"/>
      <c r="C18" s="138"/>
      <c r="D18" s="36" t="s">
        <v>0</v>
      </c>
      <c r="E18" s="30" t="s">
        <v>229</v>
      </c>
      <c r="F18" s="71">
        <v>1</v>
      </c>
      <c r="G18" s="72">
        <v>2</v>
      </c>
      <c r="H18" s="73">
        <v>3</v>
      </c>
      <c r="I18" s="74">
        <v>4</v>
      </c>
      <c r="J18" s="75">
        <v>5</v>
      </c>
      <c r="K18" s="76">
        <v>6</v>
      </c>
      <c r="L18" s="77">
        <v>7</v>
      </c>
      <c r="M18" s="78">
        <v>8</v>
      </c>
      <c r="N18" s="79">
        <v>9</v>
      </c>
      <c r="O18" s="80">
        <v>10</v>
      </c>
      <c r="P18" s="32" t="s">
        <v>0</v>
      </c>
      <c r="Q18" s="139"/>
      <c r="R18" s="334"/>
      <c r="S18" s="133">
        <f>VLOOKUP($E18,R.VL_DEQResourcesInvolved,2,FALSE)</f>
        <v>0</v>
      </c>
      <c r="T18" s="121">
        <f>VLOOKUP($E18,R.VL_DEQResourcesInvolved,3,FALSE)</f>
        <v>0</v>
      </c>
      <c r="U18" s="121">
        <f>IF(S18=10,T18,VLOOKUP($E18,R.VL_DEQResourcesInvolved,4,FALSE))</f>
        <v>0</v>
      </c>
      <c r="V18" s="64"/>
      <c r="W18" s="64"/>
      <c r="X18" s="64"/>
      <c r="Y18" s="64"/>
      <c r="Z18" s="64"/>
      <c r="AA18" s="64"/>
      <c r="AB18" s="64"/>
      <c r="AC18" s="64"/>
      <c r="AD18" s="130"/>
      <c r="AE18" s="130"/>
      <c r="AF18" s="130"/>
    </row>
    <row r="19" spans="1:32" s="28" customFormat="1" ht="14.25" customHeight="1" collapsed="1">
      <c r="A19" s="317"/>
      <c r="B19" s="334"/>
      <c r="C19" s="245"/>
      <c r="D19" s="442" t="s">
        <v>52</v>
      </c>
      <c r="E19" s="31"/>
      <c r="F19" s="31"/>
      <c r="G19" s="31"/>
      <c r="H19" s="31"/>
      <c r="I19" s="31"/>
      <c r="J19" s="31"/>
      <c r="K19" s="31"/>
      <c r="L19" s="31"/>
      <c r="M19" s="31"/>
      <c r="N19" s="31"/>
      <c r="O19" s="31"/>
      <c r="P19" s="31"/>
      <c r="Q19" s="143"/>
      <c r="R19" s="334"/>
      <c r="S19" s="228"/>
      <c r="T19" s="229"/>
      <c r="U19" s="229"/>
      <c r="V19" s="236"/>
      <c r="W19" s="236"/>
      <c r="X19" s="236"/>
      <c r="Y19" s="236"/>
      <c r="Z19" s="236"/>
      <c r="AA19" s="236"/>
      <c r="AB19" s="236"/>
      <c r="AC19" s="236"/>
      <c r="AD19" s="130"/>
      <c r="AE19" s="130"/>
      <c r="AF19" s="130"/>
    </row>
    <row r="20" spans="1:32" s="28" customFormat="1" ht="20.25" customHeight="1">
      <c r="A20" s="317"/>
      <c r="B20" s="334"/>
      <c r="C20" s="138"/>
      <c r="D20" s="734"/>
      <c r="E20" s="735"/>
      <c r="F20" s="735"/>
      <c r="G20" s="735"/>
      <c r="H20" s="735"/>
      <c r="I20" s="735"/>
      <c r="J20" s="735"/>
      <c r="K20" s="735"/>
      <c r="L20" s="735"/>
      <c r="M20" s="735"/>
      <c r="N20" s="735"/>
      <c r="O20" s="735"/>
      <c r="P20" s="736"/>
      <c r="Q20" s="139"/>
      <c r="R20" s="334"/>
      <c r="S20" s="132" t="s">
        <v>0</v>
      </c>
      <c r="T20" s="131"/>
      <c r="U20" s="131"/>
      <c r="V20" s="64"/>
      <c r="W20" s="64"/>
      <c r="X20" s="64"/>
      <c r="Y20" s="64"/>
      <c r="Z20" s="64"/>
      <c r="AA20" s="64"/>
      <c r="AB20" s="64"/>
      <c r="AC20" s="64"/>
      <c r="AD20" s="130"/>
      <c r="AE20" s="130"/>
      <c r="AF20" s="130"/>
    </row>
    <row r="21" spans="1:32" s="33" customFormat="1" ht="14.25" customHeight="1">
      <c r="A21" s="318"/>
      <c r="B21" s="334"/>
      <c r="C21" s="232"/>
      <c r="D21" s="442" t="s">
        <v>60</v>
      </c>
      <c r="E21" s="292" t="s">
        <v>18</v>
      </c>
      <c r="F21" s="292" t="s">
        <v>19</v>
      </c>
      <c r="G21" s="292"/>
      <c r="H21" s="292"/>
      <c r="I21" s="292"/>
      <c r="J21" s="292"/>
      <c r="K21" s="292"/>
      <c r="L21" s="292"/>
      <c r="M21" s="292"/>
      <c r="N21" s="292"/>
      <c r="O21" s="292"/>
      <c r="P21" s="292" t="s">
        <v>20</v>
      </c>
      <c r="Q21" s="137"/>
      <c r="R21" s="334"/>
      <c r="S21" s="228"/>
      <c r="T21" s="229"/>
      <c r="U21" s="229"/>
      <c r="V21" s="230"/>
      <c r="W21" s="230"/>
      <c r="X21" s="230"/>
      <c r="Y21" s="230"/>
      <c r="Z21" s="230"/>
      <c r="AA21" s="230"/>
      <c r="AB21" s="230"/>
      <c r="AC21" s="230"/>
      <c r="AD21" s="127"/>
      <c r="AE21" s="127"/>
      <c r="AF21" s="127"/>
    </row>
    <row r="22" spans="1:32" s="28" customFormat="1" ht="20.25" customHeight="1">
      <c r="A22" s="317"/>
      <c r="B22" s="334"/>
      <c r="C22" s="138"/>
      <c r="D22" s="36" t="s">
        <v>0</v>
      </c>
      <c r="E22" s="30" t="s">
        <v>229</v>
      </c>
      <c r="F22" s="71">
        <v>1</v>
      </c>
      <c r="G22" s="72">
        <v>2</v>
      </c>
      <c r="H22" s="73">
        <v>3</v>
      </c>
      <c r="I22" s="74">
        <v>4</v>
      </c>
      <c r="J22" s="75">
        <v>5</v>
      </c>
      <c r="K22" s="76">
        <v>6</v>
      </c>
      <c r="L22" s="77">
        <v>7</v>
      </c>
      <c r="M22" s="78">
        <v>8</v>
      </c>
      <c r="N22" s="79">
        <v>9</v>
      </c>
      <c r="O22" s="80">
        <v>10</v>
      </c>
      <c r="P22" s="32" t="s">
        <v>0</v>
      </c>
      <c r="Q22" s="139"/>
      <c r="R22" s="334"/>
      <c r="S22" s="133">
        <f>VLOOKUP($E22,R.VL_DEQResourcesInvolved,2,FALSE)</f>
        <v>0</v>
      </c>
      <c r="T22" s="121">
        <f>VLOOKUP($E22,R.VL_DEQResourcesInvolved,3,FALSE)</f>
        <v>0</v>
      </c>
      <c r="U22" s="121">
        <f>IF(S22=10,T22,VLOOKUP($E22,R.VL_DEQResourcesInvolved,4,FALSE))</f>
        <v>0</v>
      </c>
      <c r="V22" s="575" t="s">
        <v>554</v>
      </c>
      <c r="W22" s="64"/>
      <c r="X22" s="64"/>
      <c r="Y22" s="64"/>
      <c r="Z22" s="64"/>
      <c r="AA22" s="64"/>
      <c r="AB22" s="64"/>
      <c r="AC22" s="64"/>
      <c r="AD22" s="130"/>
      <c r="AE22" s="130"/>
      <c r="AF22" s="130"/>
    </row>
    <row r="23" spans="1:32" s="28" customFormat="1" ht="20.25" hidden="1" customHeight="1" outlineLevel="1">
      <c r="A23" s="317"/>
      <c r="B23" s="334"/>
      <c r="C23" s="138"/>
      <c r="D23" s="36" t="s">
        <v>0</v>
      </c>
      <c r="E23" s="30" t="s">
        <v>229</v>
      </c>
      <c r="F23" s="71">
        <v>1</v>
      </c>
      <c r="G23" s="72">
        <v>2</v>
      </c>
      <c r="H23" s="73">
        <v>3</v>
      </c>
      <c r="I23" s="74">
        <v>4</v>
      </c>
      <c r="J23" s="75">
        <v>5</v>
      </c>
      <c r="K23" s="76">
        <v>6</v>
      </c>
      <c r="L23" s="77">
        <v>7</v>
      </c>
      <c r="M23" s="78">
        <v>8</v>
      </c>
      <c r="N23" s="79">
        <v>9</v>
      </c>
      <c r="O23" s="80">
        <v>10</v>
      </c>
      <c r="P23" s="32" t="s">
        <v>0</v>
      </c>
      <c r="Q23" s="139"/>
      <c r="R23" s="334"/>
      <c r="S23" s="133">
        <f>VLOOKUP($E23,R.VL_DEQResourcesInvolved,2,FALSE)</f>
        <v>0</v>
      </c>
      <c r="T23" s="121">
        <f>VLOOKUP($E23,R.VL_DEQResourcesInvolved,3,FALSE)</f>
        <v>0</v>
      </c>
      <c r="U23" s="121">
        <f>IF(S23=10,T23,VLOOKUP($E23,R.VL_DEQResourcesInvolved,4,FALSE))</f>
        <v>0</v>
      </c>
      <c r="V23" s="64"/>
      <c r="W23" s="64"/>
      <c r="X23" s="64"/>
      <c r="Y23" s="64"/>
      <c r="Z23" s="64"/>
      <c r="AA23" s="64"/>
      <c r="AB23" s="64"/>
      <c r="AC23" s="64"/>
      <c r="AD23" s="130"/>
      <c r="AE23" s="130"/>
      <c r="AF23" s="130"/>
    </row>
    <row r="24" spans="1:32" s="28" customFormat="1" ht="20.25" hidden="1" customHeight="1" outlineLevel="1">
      <c r="A24" s="317"/>
      <c r="B24" s="334"/>
      <c r="C24" s="138"/>
      <c r="D24" s="36" t="s">
        <v>0</v>
      </c>
      <c r="E24" s="30" t="s">
        <v>229</v>
      </c>
      <c r="F24" s="71">
        <v>1</v>
      </c>
      <c r="G24" s="72">
        <v>2</v>
      </c>
      <c r="H24" s="73">
        <v>3</v>
      </c>
      <c r="I24" s="74">
        <v>4</v>
      </c>
      <c r="J24" s="75">
        <v>5</v>
      </c>
      <c r="K24" s="76">
        <v>6</v>
      </c>
      <c r="L24" s="77">
        <v>7</v>
      </c>
      <c r="M24" s="78">
        <v>8</v>
      </c>
      <c r="N24" s="79">
        <v>9</v>
      </c>
      <c r="O24" s="80">
        <v>10</v>
      </c>
      <c r="P24" s="32" t="s">
        <v>0</v>
      </c>
      <c r="Q24" s="139"/>
      <c r="R24" s="334"/>
      <c r="S24" s="133">
        <f>VLOOKUP($E24,R.VL_DEQResourcesInvolved,2,FALSE)</f>
        <v>0</v>
      </c>
      <c r="T24" s="121">
        <f>VLOOKUP($E24,R.VL_DEQResourcesInvolved,3,FALSE)</f>
        <v>0</v>
      </c>
      <c r="U24" s="121">
        <f>IF(S24=10,T24,VLOOKUP($E24,R.VL_DEQResourcesInvolved,4,FALSE))</f>
        <v>0</v>
      </c>
      <c r="V24" s="64"/>
      <c r="W24" s="64"/>
      <c r="X24" s="64"/>
      <c r="Y24" s="64"/>
      <c r="Z24" s="64"/>
      <c r="AA24" s="64"/>
      <c r="AB24" s="64"/>
      <c r="AC24" s="64"/>
      <c r="AD24" s="130"/>
      <c r="AE24" s="130"/>
      <c r="AF24" s="130"/>
    </row>
    <row r="25" spans="1:32" s="28" customFormat="1" ht="20.25" hidden="1" customHeight="1" outlineLevel="1">
      <c r="A25" s="317"/>
      <c r="B25" s="334"/>
      <c r="C25" s="138"/>
      <c r="D25" s="36" t="s">
        <v>0</v>
      </c>
      <c r="E25" s="30" t="s">
        <v>229</v>
      </c>
      <c r="F25" s="71">
        <v>1</v>
      </c>
      <c r="G25" s="72">
        <v>2</v>
      </c>
      <c r="H25" s="73">
        <v>3</v>
      </c>
      <c r="I25" s="74">
        <v>4</v>
      </c>
      <c r="J25" s="75">
        <v>5</v>
      </c>
      <c r="K25" s="76">
        <v>6</v>
      </c>
      <c r="L25" s="77">
        <v>7</v>
      </c>
      <c r="M25" s="78">
        <v>8</v>
      </c>
      <c r="N25" s="79">
        <v>9</v>
      </c>
      <c r="O25" s="80">
        <v>10</v>
      </c>
      <c r="P25" s="32" t="s">
        <v>0</v>
      </c>
      <c r="Q25" s="139"/>
      <c r="R25" s="334"/>
      <c r="S25" s="133">
        <f>VLOOKUP($E25,R.VL_DEQResourcesInvolved,2,FALSE)</f>
        <v>0</v>
      </c>
      <c r="T25" s="121">
        <f>VLOOKUP($E25,R.VL_DEQResourcesInvolved,3,FALSE)</f>
        <v>0</v>
      </c>
      <c r="U25" s="121">
        <f>IF(S25=10,T25,VLOOKUP($E25,R.VL_DEQResourcesInvolved,4,FALSE))</f>
        <v>0</v>
      </c>
      <c r="V25" s="64"/>
      <c r="W25" s="64"/>
      <c r="X25" s="64"/>
      <c r="Y25" s="64"/>
      <c r="Z25" s="64"/>
      <c r="AA25" s="64"/>
      <c r="AB25" s="64"/>
      <c r="AC25" s="64"/>
      <c r="AD25" s="130"/>
      <c r="AE25" s="130"/>
      <c r="AF25" s="130"/>
    </row>
    <row r="26" spans="1:32" s="28" customFormat="1" ht="14.25" customHeight="1" collapsed="1">
      <c r="A26" s="317"/>
      <c r="B26" s="334"/>
      <c r="C26" s="376"/>
      <c r="D26" s="481"/>
      <c r="E26" s="739"/>
      <c r="F26" s="739"/>
      <c r="G26" s="739"/>
      <c r="H26" s="739"/>
      <c r="I26" s="739"/>
      <c r="J26" s="739"/>
      <c r="K26" s="739"/>
      <c r="L26" s="739"/>
      <c r="M26" s="739"/>
      <c r="N26" s="739"/>
      <c r="O26" s="739"/>
      <c r="P26" s="739"/>
      <c r="Q26" s="379"/>
      <c r="R26" s="334"/>
      <c r="S26" s="132"/>
      <c r="T26" s="131"/>
      <c r="U26" s="131"/>
      <c r="V26" s="64"/>
      <c r="W26" s="64"/>
      <c r="X26" s="64"/>
      <c r="Y26" s="64"/>
      <c r="Z26" s="64"/>
      <c r="AA26" s="64"/>
      <c r="AB26" s="64"/>
      <c r="AC26" s="64"/>
      <c r="AD26" s="130"/>
      <c r="AE26" s="130"/>
      <c r="AF26" s="130"/>
    </row>
    <row r="27" spans="1:32" s="33" customFormat="1" ht="30" customHeight="1">
      <c r="A27" s="350" t="s">
        <v>107</v>
      </c>
      <c r="B27" s="334"/>
      <c r="C27" s="136"/>
      <c r="D27" s="304" t="s">
        <v>144</v>
      </c>
      <c r="E27" s="434"/>
      <c r="F27" s="94"/>
      <c r="G27" s="94"/>
      <c r="H27" s="94"/>
      <c r="I27" s="94"/>
      <c r="J27" s="94"/>
      <c r="K27" s="94"/>
      <c r="L27" s="94"/>
      <c r="M27" s="94"/>
      <c r="N27" s="94"/>
      <c r="O27" s="94"/>
      <c r="P27" s="94"/>
      <c r="Q27" s="137"/>
      <c r="R27" s="334"/>
      <c r="S27" s="134"/>
      <c r="T27" s="131"/>
      <c r="U27" s="131"/>
      <c r="V27" s="129"/>
      <c r="W27" s="129"/>
      <c r="X27" s="129"/>
      <c r="Y27" s="129"/>
      <c r="Z27" s="129"/>
      <c r="AA27" s="129"/>
      <c r="AB27" s="129"/>
      <c r="AC27" s="129"/>
      <c r="AD27" s="127"/>
      <c r="AE27" s="127"/>
      <c r="AF27" s="127"/>
    </row>
    <row r="28" spans="1:32" s="33" customFormat="1" ht="14.25" customHeight="1">
      <c r="A28" s="318"/>
      <c r="B28" s="334"/>
      <c r="C28" s="136"/>
      <c r="D28" s="443" t="s">
        <v>53</v>
      </c>
      <c r="E28" s="94"/>
      <c r="F28" s="94"/>
      <c r="G28" s="94"/>
      <c r="H28" s="94"/>
      <c r="I28" s="94"/>
      <c r="J28" s="94"/>
      <c r="K28" s="94"/>
      <c r="L28" s="94"/>
      <c r="M28" s="94"/>
      <c r="N28" s="94"/>
      <c r="O28" s="94"/>
      <c r="P28" s="94"/>
      <c r="Q28" s="137"/>
      <c r="R28" s="334"/>
      <c r="S28" s="134"/>
      <c r="T28" s="131"/>
      <c r="U28" s="131"/>
      <c r="V28" s="129"/>
      <c r="W28" s="129"/>
      <c r="X28" s="129"/>
      <c r="Y28" s="129"/>
      <c r="Z28" s="129"/>
      <c r="AA28" s="129"/>
      <c r="AB28" s="129"/>
      <c r="AC28" s="129"/>
      <c r="AD28" s="127"/>
      <c r="AE28" s="127"/>
      <c r="AF28" s="127"/>
    </row>
    <row r="29" spans="1:32" s="28" customFormat="1" ht="20.25" customHeight="1">
      <c r="A29" s="317"/>
      <c r="B29" s="334"/>
      <c r="C29" s="138"/>
      <c r="D29" s="719" t="s">
        <v>0</v>
      </c>
      <c r="E29" s="720"/>
      <c r="F29" s="720"/>
      <c r="G29" s="720"/>
      <c r="H29" s="720"/>
      <c r="I29" s="720"/>
      <c r="J29" s="720"/>
      <c r="K29" s="720"/>
      <c r="L29" s="720"/>
      <c r="M29" s="720"/>
      <c r="N29" s="720"/>
      <c r="O29" s="720"/>
      <c r="P29" s="721"/>
      <c r="Q29" s="139"/>
      <c r="R29" s="334"/>
      <c r="S29" s="132" t="s">
        <v>0</v>
      </c>
      <c r="T29" s="131"/>
      <c r="U29" s="131"/>
      <c r="V29" s="64"/>
      <c r="W29" s="64"/>
      <c r="X29" s="64"/>
      <c r="Y29" s="64"/>
      <c r="Z29" s="64"/>
      <c r="AA29" s="64"/>
      <c r="AB29" s="64"/>
      <c r="AC29" s="64"/>
      <c r="AD29" s="130"/>
      <c r="AE29" s="130"/>
      <c r="AF29" s="130"/>
    </row>
    <row r="30" spans="1:32" s="33" customFormat="1" ht="14.25" customHeight="1">
      <c r="A30" s="318"/>
      <c r="B30" s="334"/>
      <c r="C30" s="232"/>
      <c r="D30" s="442" t="s">
        <v>60</v>
      </c>
      <c r="E30" s="292" t="s">
        <v>18</v>
      </c>
      <c r="F30" s="292" t="s">
        <v>19</v>
      </c>
      <c r="G30" s="292"/>
      <c r="H30" s="292"/>
      <c r="I30" s="292"/>
      <c r="J30" s="292"/>
      <c r="K30" s="292"/>
      <c r="L30" s="292"/>
      <c r="M30" s="292"/>
      <c r="N30" s="292"/>
      <c r="O30" s="292"/>
      <c r="P30" s="292" t="s">
        <v>20</v>
      </c>
      <c r="Q30" s="137"/>
      <c r="R30" s="334"/>
      <c r="S30" s="228"/>
      <c r="T30" s="229"/>
      <c r="U30" s="229"/>
      <c r="V30" s="230"/>
      <c r="W30" s="230"/>
      <c r="X30" s="230"/>
      <c r="Y30" s="230"/>
      <c r="Z30" s="230"/>
      <c r="AA30" s="230"/>
      <c r="AB30" s="230"/>
      <c r="AC30" s="230"/>
      <c r="AD30" s="127"/>
      <c r="AE30" s="127"/>
      <c r="AF30" s="127"/>
    </row>
    <row r="31" spans="1:32" s="28" customFormat="1" ht="20.25" customHeight="1">
      <c r="A31" s="317"/>
      <c r="B31" s="334"/>
      <c r="C31" s="138"/>
      <c r="D31" s="36" t="s">
        <v>0</v>
      </c>
      <c r="E31" s="30" t="s">
        <v>229</v>
      </c>
      <c r="F31" s="71">
        <v>1</v>
      </c>
      <c r="G31" s="72">
        <v>2</v>
      </c>
      <c r="H31" s="73">
        <v>3</v>
      </c>
      <c r="I31" s="74">
        <v>4</v>
      </c>
      <c r="J31" s="75">
        <v>5</v>
      </c>
      <c r="K31" s="76">
        <v>6</v>
      </c>
      <c r="L31" s="77">
        <v>7</v>
      </c>
      <c r="M31" s="78">
        <v>8</v>
      </c>
      <c r="N31" s="79">
        <v>9</v>
      </c>
      <c r="O31" s="80">
        <v>10</v>
      </c>
      <c r="P31" s="32" t="s">
        <v>0</v>
      </c>
      <c r="Q31" s="139"/>
      <c r="R31" s="334"/>
      <c r="S31" s="133">
        <f>VLOOKUP($E31,R.VL_DEQResourcesInvolved,2,FALSE)</f>
        <v>0</v>
      </c>
      <c r="T31" s="121">
        <f>VLOOKUP($E31,R.VL_DEQResourcesInvolved,3,FALSE)</f>
        <v>0</v>
      </c>
      <c r="U31" s="121">
        <f>IF(S31=10,T31,VLOOKUP($E31,R.VL_DEQResourcesInvolved,4,FALSE))</f>
        <v>0</v>
      </c>
      <c r="V31" s="575" t="s">
        <v>554</v>
      </c>
      <c r="W31" s="64"/>
      <c r="X31" s="64"/>
      <c r="Y31" s="64"/>
      <c r="Z31" s="64"/>
      <c r="AA31" s="64"/>
      <c r="AB31" s="64"/>
      <c r="AC31" s="64"/>
      <c r="AD31" s="130"/>
      <c r="AE31" s="130"/>
      <c r="AF31" s="130"/>
    </row>
    <row r="32" spans="1:32" s="28" customFormat="1" ht="20.25" hidden="1" customHeight="1" outlineLevel="1">
      <c r="A32" s="317"/>
      <c r="B32" s="334"/>
      <c r="C32" s="138"/>
      <c r="D32" s="36" t="s">
        <v>0</v>
      </c>
      <c r="E32" s="30" t="s">
        <v>229</v>
      </c>
      <c r="F32" s="71">
        <v>1</v>
      </c>
      <c r="G32" s="72">
        <v>2</v>
      </c>
      <c r="H32" s="73">
        <v>3</v>
      </c>
      <c r="I32" s="74">
        <v>4</v>
      </c>
      <c r="J32" s="75">
        <v>5</v>
      </c>
      <c r="K32" s="76">
        <v>6</v>
      </c>
      <c r="L32" s="77">
        <v>7</v>
      </c>
      <c r="M32" s="78">
        <v>8</v>
      </c>
      <c r="N32" s="79">
        <v>9</v>
      </c>
      <c r="O32" s="80">
        <v>10</v>
      </c>
      <c r="P32" s="32" t="s">
        <v>0</v>
      </c>
      <c r="Q32" s="139"/>
      <c r="R32" s="334"/>
      <c r="S32" s="133">
        <f>VLOOKUP($E32,R.VL_DEQResourcesInvolved,2,FALSE)</f>
        <v>0</v>
      </c>
      <c r="T32" s="121">
        <f>VLOOKUP($E32,R.VL_DEQResourcesInvolved,3,FALSE)</f>
        <v>0</v>
      </c>
      <c r="U32" s="121">
        <f>IF(S32=10,T32,VLOOKUP($E32,R.VL_DEQResourcesInvolved,4,FALSE))</f>
        <v>0</v>
      </c>
      <c r="V32" s="64"/>
      <c r="W32" s="64"/>
      <c r="X32" s="64"/>
      <c r="Y32" s="64"/>
      <c r="Z32" s="64"/>
      <c r="AA32" s="64"/>
      <c r="AB32" s="64"/>
      <c r="AC32" s="64"/>
      <c r="AD32" s="130"/>
      <c r="AE32" s="130"/>
      <c r="AF32" s="130"/>
    </row>
    <row r="33" spans="1:32" s="28" customFormat="1" ht="20.25" hidden="1" customHeight="1" outlineLevel="1">
      <c r="A33" s="317"/>
      <c r="B33" s="334"/>
      <c r="C33" s="138"/>
      <c r="D33" s="36" t="s">
        <v>0</v>
      </c>
      <c r="E33" s="30" t="s">
        <v>229</v>
      </c>
      <c r="F33" s="71">
        <v>1</v>
      </c>
      <c r="G33" s="72">
        <v>2</v>
      </c>
      <c r="H33" s="73">
        <v>3</v>
      </c>
      <c r="I33" s="74">
        <v>4</v>
      </c>
      <c r="J33" s="75">
        <v>5</v>
      </c>
      <c r="K33" s="76">
        <v>6</v>
      </c>
      <c r="L33" s="77">
        <v>7</v>
      </c>
      <c r="M33" s="78">
        <v>8</v>
      </c>
      <c r="N33" s="79">
        <v>9</v>
      </c>
      <c r="O33" s="80">
        <v>10</v>
      </c>
      <c r="P33" s="32" t="s">
        <v>0</v>
      </c>
      <c r="Q33" s="139"/>
      <c r="R33" s="334"/>
      <c r="S33" s="133">
        <f>VLOOKUP($E33,R.VL_DEQResourcesInvolved,2,FALSE)</f>
        <v>0</v>
      </c>
      <c r="T33" s="121">
        <f>VLOOKUP($E33,R.VL_DEQResourcesInvolved,3,FALSE)</f>
        <v>0</v>
      </c>
      <c r="U33" s="121">
        <f>IF(S33=10,T33,VLOOKUP($E33,R.VL_DEQResourcesInvolved,4,FALSE))</f>
        <v>0</v>
      </c>
      <c r="V33" s="64"/>
      <c r="W33" s="64"/>
      <c r="X33" s="64"/>
      <c r="Y33" s="64"/>
      <c r="Z33" s="64"/>
      <c r="AA33" s="64"/>
      <c r="AB33" s="64"/>
      <c r="AC33" s="64"/>
      <c r="AD33" s="130"/>
      <c r="AE33" s="130"/>
      <c r="AF33" s="130"/>
    </row>
    <row r="34" spans="1:32" s="28" customFormat="1" ht="20.25" hidden="1" customHeight="1" outlineLevel="1">
      <c r="A34" s="317"/>
      <c r="B34" s="334"/>
      <c r="C34" s="138"/>
      <c r="D34" s="36" t="s">
        <v>0</v>
      </c>
      <c r="E34" s="30" t="s">
        <v>229</v>
      </c>
      <c r="F34" s="71">
        <v>1</v>
      </c>
      <c r="G34" s="72">
        <v>2</v>
      </c>
      <c r="H34" s="73">
        <v>3</v>
      </c>
      <c r="I34" s="74">
        <v>4</v>
      </c>
      <c r="J34" s="75">
        <v>5</v>
      </c>
      <c r="K34" s="76">
        <v>6</v>
      </c>
      <c r="L34" s="77">
        <v>7</v>
      </c>
      <c r="M34" s="78">
        <v>8</v>
      </c>
      <c r="N34" s="79">
        <v>9</v>
      </c>
      <c r="O34" s="80">
        <v>10</v>
      </c>
      <c r="P34" s="32" t="s">
        <v>0</v>
      </c>
      <c r="Q34" s="139"/>
      <c r="R34" s="334"/>
      <c r="S34" s="133">
        <f>VLOOKUP($E34,R.VL_DEQResourcesInvolved,2,FALSE)</f>
        <v>0</v>
      </c>
      <c r="T34" s="121">
        <f>VLOOKUP($E34,R.VL_DEQResourcesInvolved,3,FALSE)</f>
        <v>0</v>
      </c>
      <c r="U34" s="121">
        <f>IF(S34=10,T34,VLOOKUP($E34,R.VL_DEQResourcesInvolved,4,FALSE))</f>
        <v>0</v>
      </c>
      <c r="V34" s="64"/>
      <c r="W34" s="64"/>
      <c r="X34" s="64"/>
      <c r="Y34" s="64"/>
      <c r="Z34" s="64"/>
      <c r="AA34" s="64"/>
      <c r="AB34" s="64"/>
      <c r="AC34" s="64"/>
      <c r="AD34" s="130"/>
      <c r="AE34" s="130"/>
      <c r="AF34" s="130"/>
    </row>
    <row r="35" spans="1:32" s="28" customFormat="1" ht="14.25" customHeight="1" collapsed="1">
      <c r="A35" s="317"/>
      <c r="B35" s="334"/>
      <c r="C35" s="245"/>
      <c r="D35" s="443" t="s">
        <v>52</v>
      </c>
      <c r="E35" s="31"/>
      <c r="F35" s="31"/>
      <c r="G35" s="31"/>
      <c r="H35" s="31"/>
      <c r="I35" s="31"/>
      <c r="J35" s="31"/>
      <c r="K35" s="31"/>
      <c r="L35" s="31"/>
      <c r="M35" s="31"/>
      <c r="N35" s="31"/>
      <c r="O35" s="31"/>
      <c r="P35" s="31"/>
      <c r="Q35" s="143"/>
      <c r="R35" s="334"/>
      <c r="S35" s="228"/>
      <c r="T35" s="229"/>
      <c r="U35" s="229"/>
      <c r="V35" s="236"/>
      <c r="W35" s="236"/>
      <c r="X35" s="236"/>
      <c r="Y35" s="236"/>
      <c r="Z35" s="236"/>
      <c r="AA35" s="236"/>
      <c r="AB35" s="236"/>
      <c r="AC35" s="236"/>
      <c r="AD35" s="130"/>
      <c r="AE35" s="130"/>
      <c r="AF35" s="130"/>
    </row>
    <row r="36" spans="1:32" s="28" customFormat="1" ht="20.25" customHeight="1">
      <c r="A36" s="317"/>
      <c r="B36" s="334"/>
      <c r="C36" s="138"/>
      <c r="D36" s="724"/>
      <c r="E36" s="725"/>
      <c r="F36" s="725"/>
      <c r="G36" s="725"/>
      <c r="H36" s="725"/>
      <c r="I36" s="725"/>
      <c r="J36" s="725"/>
      <c r="K36" s="725"/>
      <c r="L36" s="725"/>
      <c r="M36" s="725"/>
      <c r="N36" s="725"/>
      <c r="O36" s="725"/>
      <c r="P36" s="726"/>
      <c r="Q36" s="139"/>
      <c r="R36" s="334"/>
      <c r="S36" s="132" t="s">
        <v>0</v>
      </c>
      <c r="T36" s="131"/>
      <c r="U36" s="131"/>
      <c r="V36" s="64"/>
      <c r="W36" s="64"/>
      <c r="X36" s="64"/>
      <c r="Y36" s="64"/>
      <c r="Z36" s="64"/>
      <c r="AA36" s="64"/>
      <c r="AB36" s="64"/>
      <c r="AC36" s="64"/>
      <c r="AD36" s="130"/>
      <c r="AE36" s="130"/>
      <c r="AF36" s="130"/>
    </row>
    <row r="37" spans="1:32" s="33" customFormat="1" ht="14.25" customHeight="1">
      <c r="A37" s="318"/>
      <c r="B37" s="334"/>
      <c r="C37" s="232"/>
      <c r="D37" s="442" t="s">
        <v>60</v>
      </c>
      <c r="E37" s="292" t="s">
        <v>18</v>
      </c>
      <c r="F37" s="292" t="s">
        <v>19</v>
      </c>
      <c r="G37" s="292"/>
      <c r="H37" s="292"/>
      <c r="I37" s="292"/>
      <c r="J37" s="292"/>
      <c r="K37" s="292"/>
      <c r="L37" s="292"/>
      <c r="M37" s="292"/>
      <c r="N37" s="292"/>
      <c r="O37" s="292"/>
      <c r="P37" s="292" t="s">
        <v>20</v>
      </c>
      <c r="Q37" s="137"/>
      <c r="R37" s="334"/>
      <c r="S37" s="228"/>
      <c r="T37" s="229"/>
      <c r="U37" s="229"/>
      <c r="V37" s="230"/>
      <c r="W37" s="230"/>
      <c r="X37" s="230"/>
      <c r="Y37" s="230"/>
      <c r="Z37" s="230"/>
      <c r="AA37" s="230"/>
      <c r="AB37" s="230"/>
      <c r="AC37" s="230"/>
      <c r="AD37" s="127"/>
      <c r="AE37" s="127"/>
      <c r="AF37" s="127"/>
    </row>
    <row r="38" spans="1:32" s="28" customFormat="1" ht="20.25" customHeight="1">
      <c r="A38" s="317"/>
      <c r="B38" s="334"/>
      <c r="C38" s="138"/>
      <c r="D38" s="36"/>
      <c r="E38" s="30" t="s">
        <v>229</v>
      </c>
      <c r="F38" s="71">
        <v>1</v>
      </c>
      <c r="G38" s="72">
        <v>2</v>
      </c>
      <c r="H38" s="73">
        <v>3</v>
      </c>
      <c r="I38" s="74">
        <v>4</v>
      </c>
      <c r="J38" s="75">
        <v>5</v>
      </c>
      <c r="K38" s="76">
        <v>6</v>
      </c>
      <c r="L38" s="77">
        <v>7</v>
      </c>
      <c r="M38" s="78">
        <v>8</v>
      </c>
      <c r="N38" s="79">
        <v>9</v>
      </c>
      <c r="O38" s="80">
        <v>10</v>
      </c>
      <c r="P38" s="32"/>
      <c r="Q38" s="139"/>
      <c r="R38" s="334"/>
      <c r="S38" s="133">
        <f>VLOOKUP($E38,R.VL_DEQResourcesInvolved,2,FALSE)</f>
        <v>0</v>
      </c>
      <c r="T38" s="121">
        <f>VLOOKUP($E38,R.VL_DEQResourcesInvolved,3,FALSE)</f>
        <v>0</v>
      </c>
      <c r="U38" s="121">
        <f>IF(S38=10,T38,VLOOKUP($E38,R.VL_DEQResourcesInvolved,4,FALSE))</f>
        <v>0</v>
      </c>
      <c r="V38" s="575" t="s">
        <v>554</v>
      </c>
      <c r="W38" s="64"/>
      <c r="X38" s="64"/>
      <c r="Y38" s="64"/>
      <c r="Z38" s="64"/>
      <c r="AA38" s="64"/>
      <c r="AB38" s="64"/>
      <c r="AC38" s="64"/>
      <c r="AD38" s="130"/>
      <c r="AE38" s="130"/>
      <c r="AF38" s="130"/>
    </row>
    <row r="39" spans="1:32" s="28" customFormat="1" ht="20.25" hidden="1" customHeight="1" outlineLevel="1">
      <c r="A39" s="317"/>
      <c r="B39" s="334"/>
      <c r="C39" s="138"/>
      <c r="D39" s="36" t="s">
        <v>0</v>
      </c>
      <c r="E39" s="30" t="s">
        <v>229</v>
      </c>
      <c r="F39" s="71">
        <v>1</v>
      </c>
      <c r="G39" s="72">
        <v>2</v>
      </c>
      <c r="H39" s="73">
        <v>3</v>
      </c>
      <c r="I39" s="74">
        <v>4</v>
      </c>
      <c r="J39" s="75">
        <v>5</v>
      </c>
      <c r="K39" s="76">
        <v>6</v>
      </c>
      <c r="L39" s="77">
        <v>7</v>
      </c>
      <c r="M39" s="78">
        <v>8</v>
      </c>
      <c r="N39" s="79">
        <v>9</v>
      </c>
      <c r="O39" s="80">
        <v>10</v>
      </c>
      <c r="P39" s="32" t="s">
        <v>0</v>
      </c>
      <c r="Q39" s="139"/>
      <c r="R39" s="334"/>
      <c r="S39" s="133">
        <f>VLOOKUP($E39,R.VL_DEQResourcesInvolved,2,FALSE)</f>
        <v>0</v>
      </c>
      <c r="T39" s="121">
        <f>VLOOKUP($E39,R.VL_DEQResourcesInvolved,3,FALSE)</f>
        <v>0</v>
      </c>
      <c r="U39" s="121">
        <f>IF(S39=10,T39,VLOOKUP($E39,R.VL_DEQResourcesInvolved,4,FALSE))</f>
        <v>0</v>
      </c>
      <c r="V39" s="64"/>
      <c r="W39" s="64"/>
      <c r="X39" s="64"/>
      <c r="Y39" s="64"/>
      <c r="Z39" s="64"/>
      <c r="AA39" s="64"/>
      <c r="AB39" s="64"/>
      <c r="AC39" s="64"/>
      <c r="AD39" s="130"/>
      <c r="AE39" s="130"/>
      <c r="AF39" s="130"/>
    </row>
    <row r="40" spans="1:32" s="28" customFormat="1" ht="20.25" hidden="1" customHeight="1" outlineLevel="1">
      <c r="A40" s="317"/>
      <c r="B40" s="334"/>
      <c r="C40" s="138"/>
      <c r="D40" s="36" t="s">
        <v>0</v>
      </c>
      <c r="E40" s="30" t="s">
        <v>229</v>
      </c>
      <c r="F40" s="71">
        <v>1</v>
      </c>
      <c r="G40" s="72">
        <v>2</v>
      </c>
      <c r="H40" s="73">
        <v>3</v>
      </c>
      <c r="I40" s="74">
        <v>4</v>
      </c>
      <c r="J40" s="75">
        <v>5</v>
      </c>
      <c r="K40" s="76">
        <v>6</v>
      </c>
      <c r="L40" s="77">
        <v>7</v>
      </c>
      <c r="M40" s="78">
        <v>8</v>
      </c>
      <c r="N40" s="79">
        <v>9</v>
      </c>
      <c r="O40" s="80">
        <v>10</v>
      </c>
      <c r="P40" s="32" t="s">
        <v>0</v>
      </c>
      <c r="Q40" s="139"/>
      <c r="R40" s="334"/>
      <c r="S40" s="133">
        <f>VLOOKUP($E40,R.VL_DEQResourcesInvolved,2,FALSE)</f>
        <v>0</v>
      </c>
      <c r="T40" s="121">
        <f>VLOOKUP($E40,R.VL_DEQResourcesInvolved,3,FALSE)</f>
        <v>0</v>
      </c>
      <c r="U40" s="121">
        <f>IF(S40=10,T40,VLOOKUP($E40,R.VL_DEQResourcesInvolved,4,FALSE))</f>
        <v>0</v>
      </c>
      <c r="V40" s="64"/>
      <c r="W40" s="64"/>
      <c r="X40" s="64"/>
      <c r="Y40" s="64"/>
      <c r="Z40" s="64"/>
      <c r="AA40" s="64"/>
      <c r="AB40" s="64"/>
      <c r="AC40" s="64"/>
      <c r="AD40" s="130"/>
      <c r="AE40" s="130"/>
      <c r="AF40" s="130"/>
    </row>
    <row r="41" spans="1:32" s="28" customFormat="1" ht="20.25" hidden="1" customHeight="1" outlineLevel="1">
      <c r="A41" s="317"/>
      <c r="B41" s="334"/>
      <c r="C41" s="138"/>
      <c r="D41" s="36" t="s">
        <v>0</v>
      </c>
      <c r="E41" s="30" t="s">
        <v>229</v>
      </c>
      <c r="F41" s="71">
        <v>1</v>
      </c>
      <c r="G41" s="72">
        <v>2</v>
      </c>
      <c r="H41" s="73">
        <v>3</v>
      </c>
      <c r="I41" s="74">
        <v>4</v>
      </c>
      <c r="J41" s="75">
        <v>5</v>
      </c>
      <c r="K41" s="76">
        <v>6</v>
      </c>
      <c r="L41" s="77">
        <v>7</v>
      </c>
      <c r="M41" s="78">
        <v>8</v>
      </c>
      <c r="N41" s="79">
        <v>9</v>
      </c>
      <c r="O41" s="80">
        <v>10</v>
      </c>
      <c r="P41" s="32" t="s">
        <v>0</v>
      </c>
      <c r="Q41" s="139"/>
      <c r="R41" s="334"/>
      <c r="S41" s="133">
        <f>VLOOKUP($E41,R.VL_DEQResourcesInvolved,2,FALSE)</f>
        <v>0</v>
      </c>
      <c r="T41" s="121">
        <f>VLOOKUP($E41,R.VL_DEQResourcesInvolved,3,FALSE)</f>
        <v>0</v>
      </c>
      <c r="U41" s="121">
        <f>IF(S41=10,T41,VLOOKUP($E41,R.VL_DEQResourcesInvolved,4,FALSE))</f>
        <v>0</v>
      </c>
      <c r="V41" s="64"/>
      <c r="W41" s="64"/>
      <c r="X41" s="64"/>
      <c r="Y41" s="64"/>
      <c r="Z41" s="64"/>
      <c r="AA41" s="64"/>
      <c r="AB41" s="64"/>
      <c r="AC41" s="64"/>
      <c r="AD41" s="130"/>
      <c r="AE41" s="130"/>
      <c r="AF41" s="130"/>
    </row>
    <row r="42" spans="1:32" s="28" customFormat="1" ht="14.25" customHeight="1" collapsed="1">
      <c r="A42" s="317"/>
      <c r="B42" s="334"/>
      <c r="C42" s="376"/>
      <c r="D42" s="481"/>
      <c r="E42" s="739"/>
      <c r="F42" s="739"/>
      <c r="G42" s="739"/>
      <c r="H42" s="739"/>
      <c r="I42" s="739"/>
      <c r="J42" s="739"/>
      <c r="K42" s="739"/>
      <c r="L42" s="739"/>
      <c r="M42" s="739"/>
      <c r="N42" s="739"/>
      <c r="O42" s="739"/>
      <c r="P42" s="739"/>
      <c r="Q42" s="379"/>
      <c r="R42" s="334"/>
      <c r="S42" s="132"/>
      <c r="T42" s="131"/>
      <c r="U42" s="131"/>
      <c r="V42" s="64"/>
      <c r="W42" s="64"/>
      <c r="X42" s="64"/>
      <c r="Y42" s="64"/>
      <c r="Z42" s="64"/>
      <c r="AA42" s="64"/>
      <c r="AB42" s="64"/>
      <c r="AC42" s="64"/>
      <c r="AD42" s="130"/>
      <c r="AE42" s="130"/>
      <c r="AF42" s="130"/>
    </row>
    <row r="43" spans="1:32" s="33" customFormat="1" ht="30" customHeight="1">
      <c r="A43" s="350" t="s">
        <v>107</v>
      </c>
      <c r="B43" s="334"/>
      <c r="C43" s="480" t="s">
        <v>0</v>
      </c>
      <c r="D43" s="304" t="s">
        <v>145</v>
      </c>
      <c r="E43" s="94"/>
      <c r="F43" s="94"/>
      <c r="G43" s="94"/>
      <c r="H43" s="94"/>
      <c r="I43" s="94"/>
      <c r="J43" s="94"/>
      <c r="K43" s="94"/>
      <c r="L43" s="94"/>
      <c r="M43" s="94"/>
      <c r="N43" s="94"/>
      <c r="O43" s="94"/>
      <c r="P43" s="94"/>
      <c r="Q43" s="137"/>
      <c r="R43" s="334"/>
      <c r="S43" s="125"/>
      <c r="T43" s="125" t="s">
        <v>0</v>
      </c>
      <c r="U43" s="125"/>
      <c r="V43" s="129"/>
      <c r="W43" s="129"/>
      <c r="X43" s="129"/>
      <c r="Y43" s="129"/>
      <c r="Z43" s="129"/>
      <c r="AA43" s="129"/>
      <c r="AB43" s="129"/>
      <c r="AC43" s="129"/>
      <c r="AD43" s="127"/>
      <c r="AE43" s="127"/>
      <c r="AF43" s="127"/>
    </row>
    <row r="44" spans="1:32" s="33" customFormat="1" ht="14.25" customHeight="1">
      <c r="A44" s="318"/>
      <c r="B44" s="334"/>
      <c r="C44" s="232"/>
      <c r="D44" s="443" t="s">
        <v>53</v>
      </c>
      <c r="E44" s="94"/>
      <c r="F44" s="94"/>
      <c r="G44" s="94"/>
      <c r="H44" s="94"/>
      <c r="I44" s="94"/>
      <c r="J44" s="94"/>
      <c r="K44" s="94"/>
      <c r="L44" s="94"/>
      <c r="M44" s="94"/>
      <c r="N44" s="94"/>
      <c r="O44" s="94"/>
      <c r="P44" s="94"/>
      <c r="Q44" s="137"/>
      <c r="R44" s="334"/>
      <c r="S44" s="242"/>
      <c r="T44" s="127"/>
      <c r="U44" s="127"/>
      <c r="V44" s="230"/>
      <c r="W44" s="230"/>
      <c r="X44" s="230"/>
      <c r="Y44" s="230"/>
      <c r="Z44" s="230"/>
      <c r="AA44" s="230"/>
      <c r="AB44" s="230"/>
      <c r="AC44" s="230"/>
      <c r="AD44" s="127"/>
      <c r="AE44" s="127"/>
      <c r="AF44" s="127"/>
    </row>
    <row r="45" spans="1:32" s="28" customFormat="1" ht="20.25" customHeight="1">
      <c r="A45" s="317"/>
      <c r="B45" s="334"/>
      <c r="C45" s="138"/>
      <c r="D45" s="719"/>
      <c r="E45" s="720"/>
      <c r="F45" s="720"/>
      <c r="G45" s="720"/>
      <c r="H45" s="720"/>
      <c r="I45" s="720"/>
      <c r="J45" s="720"/>
      <c r="K45" s="720"/>
      <c r="L45" s="720"/>
      <c r="M45" s="720"/>
      <c r="N45" s="720"/>
      <c r="O45" s="720"/>
      <c r="P45" s="721"/>
      <c r="Q45" s="139"/>
      <c r="R45" s="334"/>
      <c r="S45" s="131" t="s">
        <v>0</v>
      </c>
      <c r="T45" s="130"/>
      <c r="U45" s="130"/>
      <c r="V45" s="64"/>
      <c r="W45" s="64"/>
      <c r="X45" s="64"/>
      <c r="Y45" s="64"/>
      <c r="Z45" s="64"/>
      <c r="AA45" s="64"/>
      <c r="AB45" s="64"/>
      <c r="AC45" s="64"/>
      <c r="AD45" s="130"/>
      <c r="AE45" s="130"/>
      <c r="AF45" s="130"/>
    </row>
    <row r="46" spans="1:32" s="33" customFormat="1" ht="14.25" customHeight="1">
      <c r="A46" s="318"/>
      <c r="B46" s="334"/>
      <c r="C46" s="233"/>
      <c r="D46" s="497" t="s">
        <v>60</v>
      </c>
      <c r="E46" s="393" t="s">
        <v>18</v>
      </c>
      <c r="F46" s="733" t="s">
        <v>19</v>
      </c>
      <c r="G46" s="733"/>
      <c r="H46" s="733"/>
      <c r="I46" s="733"/>
      <c r="J46" s="733"/>
      <c r="K46" s="733"/>
      <c r="L46" s="733"/>
      <c r="M46" s="733"/>
      <c r="N46" s="733"/>
      <c r="O46" s="733"/>
      <c r="P46" s="393" t="s">
        <v>20</v>
      </c>
      <c r="Q46" s="137"/>
      <c r="R46" s="334"/>
      <c r="S46" s="228"/>
      <c r="T46" s="229"/>
      <c r="U46" s="229"/>
      <c r="V46" s="230"/>
      <c r="W46" s="230"/>
      <c r="X46" s="230"/>
      <c r="Y46" s="230"/>
      <c r="Z46" s="230"/>
      <c r="AA46" s="230"/>
      <c r="AB46" s="230"/>
      <c r="AC46" s="230"/>
      <c r="AD46" s="127"/>
      <c r="AE46" s="127"/>
      <c r="AF46" s="127"/>
    </row>
    <row r="47" spans="1:32" s="28" customFormat="1" ht="20.25" customHeight="1">
      <c r="A47" s="317"/>
      <c r="B47" s="334"/>
      <c r="C47" s="138"/>
      <c r="D47" s="36"/>
      <c r="E47" s="30" t="s">
        <v>229</v>
      </c>
      <c r="F47" s="71">
        <v>1</v>
      </c>
      <c r="G47" s="72">
        <v>2</v>
      </c>
      <c r="H47" s="73">
        <v>3</v>
      </c>
      <c r="I47" s="74">
        <v>4</v>
      </c>
      <c r="J47" s="75">
        <v>5</v>
      </c>
      <c r="K47" s="76">
        <v>6</v>
      </c>
      <c r="L47" s="77">
        <v>7</v>
      </c>
      <c r="M47" s="78">
        <v>8</v>
      </c>
      <c r="N47" s="79">
        <v>9</v>
      </c>
      <c r="O47" s="80">
        <v>10</v>
      </c>
      <c r="P47" s="32"/>
      <c r="Q47" s="139"/>
      <c r="R47" s="334"/>
      <c r="S47" s="133">
        <f>VLOOKUP($E47,R.VL_DEQResourcesInvolved,2,FALSE)</f>
        <v>0</v>
      </c>
      <c r="T47" s="121">
        <f>VLOOKUP($E47,R.VL_DEQResourcesInvolved,3,FALSE)</f>
        <v>0</v>
      </c>
      <c r="U47" s="121">
        <f>IF(S47=10,T47,VLOOKUP($E47,R.VL_DEQResourcesInvolved,4,FALSE))</f>
        <v>0</v>
      </c>
      <c r="V47" s="575" t="s">
        <v>554</v>
      </c>
      <c r="W47" s="64"/>
      <c r="X47" s="64"/>
      <c r="Y47" s="64"/>
      <c r="Z47" s="64"/>
      <c r="AA47" s="64"/>
      <c r="AB47" s="64"/>
      <c r="AC47" s="64"/>
      <c r="AD47" s="130"/>
      <c r="AE47" s="130"/>
      <c r="AF47" s="130"/>
    </row>
    <row r="48" spans="1:32" s="28" customFormat="1" ht="20.25" hidden="1" customHeight="1" outlineLevel="1">
      <c r="A48" s="317"/>
      <c r="B48" s="334"/>
      <c r="C48" s="138"/>
      <c r="D48" s="36" t="s">
        <v>0</v>
      </c>
      <c r="E48" s="30" t="s">
        <v>229</v>
      </c>
      <c r="F48" s="71">
        <v>1</v>
      </c>
      <c r="G48" s="72">
        <v>2</v>
      </c>
      <c r="H48" s="73">
        <v>3</v>
      </c>
      <c r="I48" s="74">
        <v>4</v>
      </c>
      <c r="J48" s="75">
        <v>5</v>
      </c>
      <c r="K48" s="76">
        <v>6</v>
      </c>
      <c r="L48" s="77">
        <v>7</v>
      </c>
      <c r="M48" s="78">
        <v>8</v>
      </c>
      <c r="N48" s="79">
        <v>9</v>
      </c>
      <c r="O48" s="80">
        <v>10</v>
      </c>
      <c r="P48" s="32" t="s">
        <v>0</v>
      </c>
      <c r="Q48" s="139"/>
      <c r="R48" s="334"/>
      <c r="S48" s="133">
        <f>VLOOKUP($E48,R.VL_DEQResourcesInvolved,2,FALSE)</f>
        <v>0</v>
      </c>
      <c r="T48" s="121">
        <f>VLOOKUP($E48,R.VL_DEQResourcesInvolved,3,FALSE)</f>
        <v>0</v>
      </c>
      <c r="U48" s="121">
        <f>IF(S48=10,T48,VLOOKUP($E48,R.VL_DEQResourcesInvolved,4,FALSE))</f>
        <v>0</v>
      </c>
      <c r="V48" s="64"/>
      <c r="W48" s="64"/>
      <c r="X48" s="64"/>
      <c r="Y48" s="64"/>
      <c r="Z48" s="64"/>
      <c r="AA48" s="64"/>
      <c r="AB48" s="64"/>
      <c r="AC48" s="64"/>
      <c r="AD48" s="130"/>
      <c r="AE48" s="130"/>
      <c r="AF48" s="130"/>
    </row>
    <row r="49" spans="1:32" s="28" customFormat="1" ht="20.25" hidden="1" customHeight="1" outlineLevel="1">
      <c r="A49" s="317"/>
      <c r="B49" s="334"/>
      <c r="C49" s="138"/>
      <c r="D49" s="36" t="s">
        <v>0</v>
      </c>
      <c r="E49" s="30" t="s">
        <v>229</v>
      </c>
      <c r="F49" s="71">
        <v>1</v>
      </c>
      <c r="G49" s="72">
        <v>2</v>
      </c>
      <c r="H49" s="73">
        <v>3</v>
      </c>
      <c r="I49" s="74">
        <v>4</v>
      </c>
      <c r="J49" s="75">
        <v>5</v>
      </c>
      <c r="K49" s="76">
        <v>6</v>
      </c>
      <c r="L49" s="77">
        <v>7</v>
      </c>
      <c r="M49" s="78">
        <v>8</v>
      </c>
      <c r="N49" s="79">
        <v>9</v>
      </c>
      <c r="O49" s="80">
        <v>10</v>
      </c>
      <c r="P49" s="32" t="s">
        <v>0</v>
      </c>
      <c r="Q49" s="139"/>
      <c r="R49" s="334"/>
      <c r="S49" s="133">
        <f>VLOOKUP($E49,R.VL_DEQResourcesInvolved,2,FALSE)</f>
        <v>0</v>
      </c>
      <c r="T49" s="121">
        <f>VLOOKUP($E49,R.VL_DEQResourcesInvolved,3,FALSE)</f>
        <v>0</v>
      </c>
      <c r="U49" s="121">
        <f>IF(S49=10,T49,VLOOKUP($E49,R.VL_DEQResourcesInvolved,4,FALSE))</f>
        <v>0</v>
      </c>
      <c r="V49" s="64"/>
      <c r="W49" s="64"/>
      <c r="X49" s="64"/>
      <c r="Y49" s="64"/>
      <c r="Z49" s="64"/>
      <c r="AA49" s="64"/>
      <c r="AB49" s="64"/>
      <c r="AC49" s="64"/>
      <c r="AD49" s="130"/>
      <c r="AE49" s="130"/>
      <c r="AF49" s="130"/>
    </row>
    <row r="50" spans="1:32" s="28" customFormat="1" ht="20.25" hidden="1" customHeight="1" outlineLevel="1">
      <c r="A50" s="317"/>
      <c r="B50" s="334"/>
      <c r="C50" s="138"/>
      <c r="D50" s="36" t="s">
        <v>0</v>
      </c>
      <c r="E50" s="30" t="s">
        <v>229</v>
      </c>
      <c r="F50" s="71">
        <v>1</v>
      </c>
      <c r="G50" s="72">
        <v>2</v>
      </c>
      <c r="H50" s="73">
        <v>3</v>
      </c>
      <c r="I50" s="74">
        <v>4</v>
      </c>
      <c r="J50" s="75">
        <v>5</v>
      </c>
      <c r="K50" s="76">
        <v>6</v>
      </c>
      <c r="L50" s="77">
        <v>7</v>
      </c>
      <c r="M50" s="78">
        <v>8</v>
      </c>
      <c r="N50" s="79">
        <v>9</v>
      </c>
      <c r="O50" s="80">
        <v>10</v>
      </c>
      <c r="P50" s="32" t="s">
        <v>0</v>
      </c>
      <c r="Q50" s="139"/>
      <c r="R50" s="334"/>
      <c r="S50" s="133">
        <f>VLOOKUP($E50,R.VL_DEQResourcesInvolved,2,FALSE)</f>
        <v>0</v>
      </c>
      <c r="T50" s="121">
        <f>VLOOKUP($E50,R.VL_DEQResourcesInvolved,3,FALSE)</f>
        <v>0</v>
      </c>
      <c r="U50" s="121">
        <f>IF(S50=10,T50,VLOOKUP($E50,R.VL_DEQResourcesInvolved,4,FALSE))</f>
        <v>0</v>
      </c>
      <c r="V50" s="64"/>
      <c r="W50" s="64"/>
      <c r="X50" s="64"/>
      <c r="Y50" s="64"/>
      <c r="Z50" s="64"/>
      <c r="AA50" s="64"/>
      <c r="AB50" s="64"/>
      <c r="AC50" s="64"/>
      <c r="AD50" s="130"/>
      <c r="AE50" s="130"/>
      <c r="AF50" s="130"/>
    </row>
    <row r="51" spans="1:32" s="28" customFormat="1" ht="14.25" customHeight="1" collapsed="1">
      <c r="A51" s="317"/>
      <c r="B51" s="334"/>
      <c r="C51" s="245"/>
      <c r="D51" s="442" t="s">
        <v>52</v>
      </c>
      <c r="E51" s="31"/>
      <c r="F51" s="31"/>
      <c r="G51" s="31"/>
      <c r="H51" s="31"/>
      <c r="I51" s="31"/>
      <c r="J51" s="31"/>
      <c r="K51" s="31"/>
      <c r="L51" s="31"/>
      <c r="M51" s="31"/>
      <c r="N51" s="31"/>
      <c r="O51" s="31"/>
      <c r="P51" s="31"/>
      <c r="Q51" s="143"/>
      <c r="R51" s="334"/>
      <c r="S51" s="228"/>
      <c r="T51" s="229"/>
      <c r="U51" s="229"/>
      <c r="V51" s="236"/>
      <c r="W51" s="236"/>
      <c r="X51" s="236"/>
      <c r="Y51" s="236"/>
      <c r="Z51" s="236"/>
      <c r="AA51" s="236"/>
      <c r="AB51" s="236"/>
      <c r="AC51" s="236"/>
      <c r="AD51" s="130"/>
      <c r="AE51" s="130"/>
      <c r="AF51" s="130"/>
    </row>
    <row r="52" spans="1:32" s="28" customFormat="1" ht="20.25" customHeight="1">
      <c r="A52" s="317"/>
      <c r="B52" s="334"/>
      <c r="C52" s="138"/>
      <c r="D52" s="734"/>
      <c r="E52" s="735"/>
      <c r="F52" s="735"/>
      <c r="G52" s="735"/>
      <c r="H52" s="735"/>
      <c r="I52" s="735"/>
      <c r="J52" s="735"/>
      <c r="K52" s="735"/>
      <c r="L52" s="735"/>
      <c r="M52" s="735"/>
      <c r="N52" s="735"/>
      <c r="O52" s="735"/>
      <c r="P52" s="736"/>
      <c r="Q52" s="139"/>
      <c r="R52" s="334"/>
      <c r="S52" s="132" t="s">
        <v>0</v>
      </c>
      <c r="T52" s="131"/>
      <c r="U52" s="131"/>
      <c r="V52" s="64"/>
      <c r="W52" s="64"/>
      <c r="X52" s="64"/>
      <c r="Y52" s="64"/>
      <c r="Z52" s="64"/>
      <c r="AA52" s="64"/>
      <c r="AB52" s="64"/>
      <c r="AC52" s="64"/>
      <c r="AD52" s="130"/>
      <c r="AE52" s="130"/>
      <c r="AF52" s="130"/>
    </row>
    <row r="53" spans="1:32" s="33" customFormat="1" ht="14.25" customHeight="1">
      <c r="A53" s="318"/>
      <c r="B53" s="334"/>
      <c r="C53" s="232"/>
      <c r="D53" s="442" t="s">
        <v>60</v>
      </c>
      <c r="E53" s="292" t="s">
        <v>18</v>
      </c>
      <c r="F53" s="292" t="s">
        <v>19</v>
      </c>
      <c r="G53" s="292"/>
      <c r="H53" s="292"/>
      <c r="I53" s="292"/>
      <c r="J53" s="292"/>
      <c r="K53" s="292"/>
      <c r="L53" s="292"/>
      <c r="M53" s="292"/>
      <c r="N53" s="292"/>
      <c r="O53" s="292"/>
      <c r="P53" s="292" t="s">
        <v>20</v>
      </c>
      <c r="Q53" s="137"/>
      <c r="R53" s="334"/>
      <c r="S53" s="228"/>
      <c r="T53" s="229"/>
      <c r="U53" s="229"/>
      <c r="V53" s="230"/>
      <c r="W53" s="230"/>
      <c r="X53" s="230"/>
      <c r="Y53" s="230"/>
      <c r="Z53" s="230"/>
      <c r="AA53" s="230"/>
      <c r="AB53" s="230"/>
      <c r="AC53" s="230"/>
      <c r="AD53" s="127"/>
      <c r="AE53" s="127"/>
      <c r="AF53" s="127"/>
    </row>
    <row r="54" spans="1:32" s="28" customFormat="1" ht="20.25" customHeight="1">
      <c r="A54" s="317"/>
      <c r="B54" s="334"/>
      <c r="C54" s="138"/>
      <c r="D54" s="36"/>
      <c r="E54" s="30" t="s">
        <v>229</v>
      </c>
      <c r="F54" s="71">
        <v>1</v>
      </c>
      <c r="G54" s="72">
        <v>2</v>
      </c>
      <c r="H54" s="73">
        <v>3</v>
      </c>
      <c r="I54" s="74">
        <v>4</v>
      </c>
      <c r="J54" s="75">
        <v>5</v>
      </c>
      <c r="K54" s="76">
        <v>6</v>
      </c>
      <c r="L54" s="77">
        <v>7</v>
      </c>
      <c r="M54" s="78">
        <v>8</v>
      </c>
      <c r="N54" s="79">
        <v>9</v>
      </c>
      <c r="O54" s="80">
        <v>10</v>
      </c>
      <c r="P54" s="32"/>
      <c r="Q54" s="139"/>
      <c r="R54" s="334"/>
      <c r="S54" s="133">
        <f>VLOOKUP($E54,R.VL_DEQResourcesInvolved,2,FALSE)</f>
        <v>0</v>
      </c>
      <c r="T54" s="121">
        <f>VLOOKUP($E54,R.VL_DEQResourcesInvolved,3,FALSE)</f>
        <v>0</v>
      </c>
      <c r="U54" s="121">
        <f>IF(S54=10,T54,VLOOKUP($E54,R.VL_DEQResourcesInvolved,4,FALSE))</f>
        <v>0</v>
      </c>
      <c r="V54" s="575" t="s">
        <v>554</v>
      </c>
      <c r="W54" s="64"/>
      <c r="X54" s="64"/>
      <c r="Y54" s="64"/>
      <c r="Z54" s="64"/>
      <c r="AA54" s="64"/>
      <c r="AB54" s="64"/>
      <c r="AC54" s="64"/>
      <c r="AD54" s="130"/>
      <c r="AE54" s="130"/>
      <c r="AF54" s="130"/>
    </row>
    <row r="55" spans="1:32" s="28" customFormat="1" ht="20.25" hidden="1" customHeight="1" outlineLevel="1">
      <c r="A55" s="317"/>
      <c r="B55" s="334"/>
      <c r="C55" s="138"/>
      <c r="D55" s="36"/>
      <c r="E55" s="30" t="s">
        <v>229</v>
      </c>
      <c r="F55" s="71">
        <v>1</v>
      </c>
      <c r="G55" s="72">
        <v>2</v>
      </c>
      <c r="H55" s="73">
        <v>3</v>
      </c>
      <c r="I55" s="74">
        <v>4</v>
      </c>
      <c r="J55" s="75">
        <v>5</v>
      </c>
      <c r="K55" s="76">
        <v>6</v>
      </c>
      <c r="L55" s="77">
        <v>7</v>
      </c>
      <c r="M55" s="78">
        <v>8</v>
      </c>
      <c r="N55" s="79">
        <v>9</v>
      </c>
      <c r="O55" s="80">
        <v>10</v>
      </c>
      <c r="P55" s="32"/>
      <c r="Q55" s="139"/>
      <c r="R55" s="334"/>
      <c r="S55" s="133">
        <f>VLOOKUP($E55,R.VL_DEQResourcesInvolved,2,FALSE)</f>
        <v>0</v>
      </c>
      <c r="T55" s="121">
        <f>VLOOKUP($E55,R.VL_DEQResourcesInvolved,3,FALSE)</f>
        <v>0</v>
      </c>
      <c r="U55" s="121">
        <f>IF(S55=10,T55,VLOOKUP($E55,R.VL_DEQResourcesInvolved,4,FALSE))</f>
        <v>0</v>
      </c>
      <c r="V55" s="64"/>
      <c r="W55" s="64"/>
      <c r="X55" s="64"/>
      <c r="Y55" s="64"/>
      <c r="Z55" s="64"/>
      <c r="AA55" s="64"/>
      <c r="AB55" s="64"/>
      <c r="AC55" s="64"/>
      <c r="AD55" s="130"/>
      <c r="AE55" s="130"/>
      <c r="AF55" s="130"/>
    </row>
    <row r="56" spans="1:32" s="28" customFormat="1" ht="20.25" hidden="1" customHeight="1" outlineLevel="1">
      <c r="A56" s="317"/>
      <c r="B56" s="334"/>
      <c r="C56" s="138"/>
      <c r="D56" s="36" t="s">
        <v>0</v>
      </c>
      <c r="E56" s="30" t="s">
        <v>229</v>
      </c>
      <c r="F56" s="71">
        <v>1</v>
      </c>
      <c r="G56" s="72">
        <v>2</v>
      </c>
      <c r="H56" s="73">
        <v>3</v>
      </c>
      <c r="I56" s="74">
        <v>4</v>
      </c>
      <c r="J56" s="75">
        <v>5</v>
      </c>
      <c r="K56" s="76">
        <v>6</v>
      </c>
      <c r="L56" s="77">
        <v>7</v>
      </c>
      <c r="M56" s="78">
        <v>8</v>
      </c>
      <c r="N56" s="79">
        <v>9</v>
      </c>
      <c r="O56" s="80">
        <v>10</v>
      </c>
      <c r="P56" s="32" t="s">
        <v>0</v>
      </c>
      <c r="Q56" s="139"/>
      <c r="R56" s="334"/>
      <c r="S56" s="133">
        <f>VLOOKUP($E56,R.VL_DEQResourcesInvolved,2,FALSE)</f>
        <v>0</v>
      </c>
      <c r="T56" s="121">
        <f>VLOOKUP($E56,R.VL_DEQResourcesInvolved,3,FALSE)</f>
        <v>0</v>
      </c>
      <c r="U56" s="121">
        <f>IF(S56=10,T56,VLOOKUP($E56,R.VL_DEQResourcesInvolved,4,FALSE))</f>
        <v>0</v>
      </c>
      <c r="V56" s="64"/>
      <c r="W56" s="64"/>
      <c r="X56" s="64"/>
      <c r="Y56" s="64"/>
      <c r="Z56" s="64"/>
      <c r="AA56" s="64"/>
      <c r="AB56" s="64"/>
      <c r="AC56" s="64"/>
      <c r="AD56" s="130"/>
      <c r="AE56" s="130"/>
      <c r="AF56" s="130"/>
    </row>
    <row r="57" spans="1:32" s="28" customFormat="1" ht="20.25" hidden="1" customHeight="1" outlineLevel="1">
      <c r="A57" s="317"/>
      <c r="B57" s="334"/>
      <c r="C57" s="138"/>
      <c r="D57" s="36" t="s">
        <v>0</v>
      </c>
      <c r="E57" s="30" t="s">
        <v>229</v>
      </c>
      <c r="F57" s="71">
        <v>1</v>
      </c>
      <c r="G57" s="72">
        <v>2</v>
      </c>
      <c r="H57" s="73">
        <v>3</v>
      </c>
      <c r="I57" s="74">
        <v>4</v>
      </c>
      <c r="J57" s="75">
        <v>5</v>
      </c>
      <c r="K57" s="76">
        <v>6</v>
      </c>
      <c r="L57" s="77">
        <v>7</v>
      </c>
      <c r="M57" s="78">
        <v>8</v>
      </c>
      <c r="N57" s="79">
        <v>9</v>
      </c>
      <c r="O57" s="80">
        <v>10</v>
      </c>
      <c r="P57" s="32" t="s">
        <v>0</v>
      </c>
      <c r="Q57" s="139"/>
      <c r="R57" s="334"/>
      <c r="S57" s="133">
        <f>VLOOKUP($E57,R.VL_DEQResourcesInvolved,2,FALSE)</f>
        <v>0</v>
      </c>
      <c r="T57" s="121">
        <f>VLOOKUP($E57,R.VL_DEQResourcesInvolved,3,FALSE)</f>
        <v>0</v>
      </c>
      <c r="U57" s="121">
        <f>IF(S57=10,T57,VLOOKUP($E57,R.VL_DEQResourcesInvolved,4,FALSE))</f>
        <v>0</v>
      </c>
      <c r="V57" s="64"/>
      <c r="W57" s="64"/>
      <c r="X57" s="64"/>
      <c r="Y57" s="64"/>
      <c r="Z57" s="64"/>
      <c r="AA57" s="64"/>
      <c r="AB57" s="64"/>
      <c r="AC57" s="64"/>
      <c r="AD57" s="130"/>
      <c r="AE57" s="130"/>
      <c r="AF57" s="130"/>
    </row>
    <row r="58" spans="1:32" s="28" customFormat="1" ht="14.25" customHeight="1" collapsed="1">
      <c r="A58" s="317"/>
      <c r="B58" s="334"/>
      <c r="C58" s="376"/>
      <c r="D58" s="481"/>
      <c r="E58" s="739"/>
      <c r="F58" s="739"/>
      <c r="G58" s="739"/>
      <c r="H58" s="739"/>
      <c r="I58" s="739"/>
      <c r="J58" s="739"/>
      <c r="K58" s="739"/>
      <c r="L58" s="739"/>
      <c r="M58" s="739"/>
      <c r="N58" s="739"/>
      <c r="O58" s="739"/>
      <c r="P58" s="739"/>
      <c r="Q58" s="379"/>
      <c r="R58" s="334"/>
      <c r="S58" s="132"/>
      <c r="T58" s="131"/>
      <c r="U58" s="131"/>
      <c r="V58" s="64"/>
      <c r="W58" s="64"/>
      <c r="X58" s="64"/>
      <c r="Y58" s="64"/>
      <c r="Z58" s="64"/>
      <c r="AA58" s="64"/>
      <c r="AB58" s="64"/>
      <c r="AC58" s="64"/>
      <c r="AD58" s="130"/>
      <c r="AE58" s="130"/>
      <c r="AF58" s="130"/>
    </row>
    <row r="59" spans="1:32" s="29" customFormat="1" ht="30" customHeight="1">
      <c r="A59" s="316"/>
      <c r="B59" s="334"/>
      <c r="C59" s="146"/>
      <c r="D59" s="644" t="str">
        <f>"Please suggest process improvements to the "&amp;D2&amp;" worksheet."</f>
        <v>Please suggest process improvements to the Financial Services worksheet.</v>
      </c>
      <c r="E59" s="644"/>
      <c r="F59" s="644"/>
      <c r="G59" s="644"/>
      <c r="H59" s="86"/>
      <c r="I59" s="87"/>
      <c r="J59" s="88"/>
      <c r="K59" s="89"/>
      <c r="L59" s="90"/>
      <c r="M59" s="91"/>
      <c r="N59" s="92"/>
      <c r="O59" s="93"/>
      <c r="P59" s="39"/>
      <c r="Q59" s="147"/>
      <c r="R59" s="334"/>
      <c r="S59" s="134"/>
      <c r="T59" s="131"/>
      <c r="U59" s="131"/>
      <c r="V59" s="64"/>
      <c r="W59" s="64"/>
      <c r="X59" s="64"/>
      <c r="Y59" s="64"/>
      <c r="Z59" s="64"/>
      <c r="AA59" s="64"/>
      <c r="AB59" s="64"/>
      <c r="AC59" s="64"/>
      <c r="AD59" s="65"/>
      <c r="AE59" s="65"/>
      <c r="AF59" s="65"/>
    </row>
    <row r="60" spans="1:32" s="6" customFormat="1" ht="30.75" customHeight="1">
      <c r="A60" s="316"/>
      <c r="B60" s="334"/>
      <c r="C60" s="136"/>
      <c r="D60" s="641"/>
      <c r="E60" s="642"/>
      <c r="F60" s="642"/>
      <c r="G60" s="642"/>
      <c r="H60" s="642"/>
      <c r="I60" s="642"/>
      <c r="J60" s="642"/>
      <c r="K60" s="642"/>
      <c r="L60" s="642"/>
      <c r="M60" s="642"/>
      <c r="N60" s="642"/>
      <c r="O60" s="642"/>
      <c r="P60" s="643"/>
      <c r="Q60" s="148"/>
      <c r="R60" s="334"/>
      <c r="S60" s="132"/>
      <c r="T60" s="131"/>
      <c r="U60" s="131"/>
      <c r="V60" s="64"/>
      <c r="W60" s="64"/>
      <c r="X60" s="64"/>
      <c r="Y60" s="64"/>
      <c r="Z60" s="64"/>
      <c r="AA60" s="64"/>
      <c r="AB60" s="64"/>
      <c r="AC60" s="64"/>
      <c r="AD60" s="66"/>
      <c r="AE60" s="66"/>
      <c r="AF60" s="66"/>
    </row>
    <row r="61" spans="1:32" ht="18" customHeight="1">
      <c r="A61" s="350" t="s">
        <v>108</v>
      </c>
      <c r="B61" s="334"/>
      <c r="C61" s="149"/>
      <c r="D61" s="150"/>
      <c r="E61" s="150"/>
      <c r="F61" s="150"/>
      <c r="G61" s="150"/>
      <c r="H61" s="150"/>
      <c r="I61" s="150"/>
      <c r="J61" s="150"/>
      <c r="K61" s="150"/>
      <c r="L61" s="150"/>
      <c r="M61" s="150"/>
      <c r="N61" s="150"/>
      <c r="O61" s="150"/>
      <c r="P61" s="150"/>
      <c r="Q61" s="151"/>
      <c r="R61" s="334"/>
    </row>
    <row r="62" spans="1:32" s="64" customFormat="1" ht="14.25" customHeight="1">
      <c r="A62" s="310"/>
      <c r="B62" s="334"/>
      <c r="C62" s="334"/>
      <c r="D62" s="334"/>
      <c r="E62" s="334"/>
      <c r="F62" s="334"/>
      <c r="G62" s="334"/>
      <c r="H62" s="334"/>
      <c r="I62" s="334"/>
      <c r="J62" s="334"/>
      <c r="K62" s="334"/>
      <c r="L62" s="334"/>
      <c r="M62" s="334"/>
      <c r="N62" s="334"/>
      <c r="O62" s="334"/>
      <c r="P62" s="334"/>
      <c r="Q62" s="334"/>
      <c r="R62" s="334"/>
      <c r="S62" s="113"/>
    </row>
    <row r="63" spans="1:32" s="64" customFormat="1">
      <c r="A63" s="310"/>
      <c r="C63" s="112"/>
      <c r="S63" s="113"/>
    </row>
    <row r="64" spans="1:32" s="64" customFormat="1">
      <c r="A64" s="310"/>
      <c r="C64" s="112"/>
      <c r="S64" s="113"/>
    </row>
    <row r="65" spans="1:19" s="64" customFormat="1">
      <c r="A65" s="310"/>
      <c r="C65" s="112"/>
      <c r="S65" s="113"/>
    </row>
    <row r="66" spans="1:19" s="64" customFormat="1">
      <c r="A66" s="310"/>
      <c r="C66" s="112"/>
      <c r="S66" s="113"/>
    </row>
    <row r="67" spans="1:19" s="64" customFormat="1">
      <c r="A67" s="310"/>
      <c r="C67" s="112"/>
      <c r="S67" s="113"/>
    </row>
    <row r="68" spans="1:19" s="64" customFormat="1">
      <c r="A68" s="310"/>
      <c r="C68" s="112"/>
      <c r="S68" s="113"/>
    </row>
    <row r="69" spans="1:19" s="64" customFormat="1">
      <c r="A69" s="310"/>
      <c r="C69" s="112"/>
      <c r="S69" s="113"/>
    </row>
    <row r="70" spans="1:19" s="64" customFormat="1">
      <c r="A70" s="310"/>
      <c r="C70" s="112"/>
      <c r="S70" s="113"/>
    </row>
  </sheetData>
  <sheetProtection sheet="1" scenarios="1" formatCells="0" formatRows="0" insertHyperlinks="0"/>
  <mergeCells count="24">
    <mergeCell ref="E58:P58"/>
    <mergeCell ref="D36:P36"/>
    <mergeCell ref="D59:G59"/>
    <mergeCell ref="S10:U10"/>
    <mergeCell ref="D6:P6"/>
    <mergeCell ref="D9:P9"/>
    <mergeCell ref="D8:P8"/>
    <mergeCell ref="D7:P7"/>
    <mergeCell ref="D60:P60"/>
    <mergeCell ref="E2:P2"/>
    <mergeCell ref="D52:P52"/>
    <mergeCell ref="D45:P45"/>
    <mergeCell ref="F46:O46"/>
    <mergeCell ref="M4:P4"/>
    <mergeCell ref="M5:P5"/>
    <mergeCell ref="F4:L4"/>
    <mergeCell ref="F5:L5"/>
    <mergeCell ref="M3:P3"/>
    <mergeCell ref="F14:O14"/>
    <mergeCell ref="E42:P42"/>
    <mergeCell ref="D29:P29"/>
    <mergeCell ref="D20:P20"/>
    <mergeCell ref="D13:P13"/>
    <mergeCell ref="E26:P26"/>
  </mergeCells>
  <conditionalFormatting sqref="F61:O61 H59:O59 F15:O18 F22:O27 F31:O34 F38:O42 F47:O50 F54:O58">
    <cfRule type="colorScale" priority="299">
      <colorScale>
        <cfvo type="num" val="0"/>
        <cfvo type="num" val="5"/>
        <cfvo type="num" val="10"/>
        <color rgb="FF00B050"/>
        <color rgb="FFFFFF00"/>
        <color rgb="FFFF0000"/>
      </colorScale>
    </cfRule>
  </conditionalFormatting>
  <conditionalFormatting sqref="N26:N27 N59 N61">
    <cfRule type="expression" dxfId="2239" priority="298" stopIfTrue="1">
      <formula>IF($S26&lt;9,TRUE,)</formula>
    </cfRule>
  </conditionalFormatting>
  <conditionalFormatting sqref="M26:M27 M59 M61">
    <cfRule type="expression" dxfId="2238" priority="297" stopIfTrue="1">
      <formula>IF($S26&lt;8,TRUE,)</formula>
    </cfRule>
  </conditionalFormatting>
  <conditionalFormatting sqref="L26:L27 L59 L61">
    <cfRule type="expression" dxfId="2237" priority="296" stopIfTrue="1">
      <formula>IF($S26&lt;7,TRUE,)</formula>
    </cfRule>
  </conditionalFormatting>
  <conditionalFormatting sqref="K26:K27 K59 K61">
    <cfRule type="expression" dxfId="2236" priority="295" stopIfTrue="1">
      <formula>IF($S26&lt;6,TRUE,)</formula>
    </cfRule>
  </conditionalFormatting>
  <conditionalFormatting sqref="J26:J27 J59 J61">
    <cfRule type="expression" dxfId="2235" priority="294" stopIfTrue="1">
      <formula>IF($S26&lt;5,TRUE,)</formula>
    </cfRule>
  </conditionalFormatting>
  <conditionalFormatting sqref="I26:I27 I59 I61">
    <cfRule type="expression" dxfId="2234" priority="293" stopIfTrue="1">
      <formula>IF($S26&lt;4,TRUE,)</formula>
    </cfRule>
  </conditionalFormatting>
  <conditionalFormatting sqref="H26:H27 H59 H61">
    <cfRule type="expression" dxfId="2233" priority="292" stopIfTrue="1">
      <formula>IF($S26&lt;3,TRUE,)</formula>
    </cfRule>
  </conditionalFormatting>
  <conditionalFormatting sqref="G26:G27 G61">
    <cfRule type="expression" dxfId="2232" priority="291" stopIfTrue="1">
      <formula>IF($S26&lt;2,TRUE,)</formula>
    </cfRule>
  </conditionalFormatting>
  <conditionalFormatting sqref="F26:F27 F61">
    <cfRule type="expression" dxfId="2231" priority="290" stopIfTrue="1">
      <formula>IF($S26&lt;1,TRUE,)</formula>
    </cfRule>
  </conditionalFormatting>
  <conditionalFormatting sqref="O26:O27 O59 O61">
    <cfRule type="expression" dxfId="2230" priority="289" stopIfTrue="1">
      <formula>IF($S26&lt;10,TRUE,)</formula>
    </cfRule>
  </conditionalFormatting>
  <conditionalFormatting sqref="N15:N16">
    <cfRule type="expression" dxfId="2229" priority="215" stopIfTrue="1">
      <formula>IF($S15&lt;9,TRUE,)</formula>
    </cfRule>
  </conditionalFormatting>
  <conditionalFormatting sqref="M15:M16">
    <cfRule type="expression" dxfId="2228" priority="214" stopIfTrue="1">
      <formula>IF($S15&lt;8,TRUE,)</formula>
    </cfRule>
  </conditionalFormatting>
  <conditionalFormatting sqref="L15:L16">
    <cfRule type="expression" dxfId="2227" priority="213" stopIfTrue="1">
      <formula>IF($S15&lt;7,TRUE,)</formula>
    </cfRule>
  </conditionalFormatting>
  <conditionalFormatting sqref="K15:K16">
    <cfRule type="expression" dxfId="2226" priority="212" stopIfTrue="1">
      <formula>IF($S15&lt;6,TRUE,)</formula>
    </cfRule>
  </conditionalFormatting>
  <conditionalFormatting sqref="J15:J16">
    <cfRule type="expression" dxfId="2225" priority="211" stopIfTrue="1">
      <formula>IF($S15&lt;5,TRUE,)</formula>
    </cfRule>
  </conditionalFormatting>
  <conditionalFormatting sqref="I15:I16">
    <cfRule type="expression" dxfId="2224" priority="210" stopIfTrue="1">
      <formula>IF($S15&lt;4,TRUE,)</formula>
    </cfRule>
  </conditionalFormatting>
  <conditionalFormatting sqref="H15:H16">
    <cfRule type="expression" dxfId="2223" priority="209" stopIfTrue="1">
      <formula>IF($S15&lt;3,TRUE,)</formula>
    </cfRule>
  </conditionalFormatting>
  <conditionalFormatting sqref="G15:G16">
    <cfRule type="expression" dxfId="2222" priority="208" stopIfTrue="1">
      <formula>IF($S15&lt;2,TRUE,)</formula>
    </cfRule>
  </conditionalFormatting>
  <conditionalFormatting sqref="F15:F16">
    <cfRule type="expression" dxfId="2221" priority="207" stopIfTrue="1">
      <formula>IF($S15&lt;1,TRUE,)</formula>
    </cfRule>
  </conditionalFormatting>
  <conditionalFormatting sqref="O15:O16">
    <cfRule type="expression" dxfId="2220" priority="206" stopIfTrue="1">
      <formula>IF($S15&lt;10,TRUE,)</formula>
    </cfRule>
  </conditionalFormatting>
  <conditionalFormatting sqref="N22:N23">
    <cfRule type="expression" dxfId="2219" priority="193" stopIfTrue="1">
      <formula>IF($S22&lt;9,TRUE,)</formula>
    </cfRule>
  </conditionalFormatting>
  <conditionalFormatting sqref="M22:M23">
    <cfRule type="expression" dxfId="2218" priority="192" stopIfTrue="1">
      <formula>IF($S22&lt;8,TRUE,)</formula>
    </cfRule>
  </conditionalFormatting>
  <conditionalFormatting sqref="L22:L23">
    <cfRule type="expression" dxfId="2217" priority="191" stopIfTrue="1">
      <formula>IF($S22&lt;7,TRUE,)</formula>
    </cfRule>
  </conditionalFormatting>
  <conditionalFormatting sqref="K22:K23">
    <cfRule type="expression" dxfId="2216" priority="190" stopIfTrue="1">
      <formula>IF($S22&lt;6,TRUE,)</formula>
    </cfRule>
  </conditionalFormatting>
  <conditionalFormatting sqref="J22:J23">
    <cfRule type="expression" dxfId="2215" priority="189" stopIfTrue="1">
      <formula>IF($S22&lt;5,TRUE,)</formula>
    </cfRule>
  </conditionalFormatting>
  <conditionalFormatting sqref="I22:I23">
    <cfRule type="expression" dxfId="2214" priority="188" stopIfTrue="1">
      <formula>IF($S22&lt;4,TRUE,)</formula>
    </cfRule>
  </conditionalFormatting>
  <conditionalFormatting sqref="H22:H23">
    <cfRule type="expression" dxfId="2213" priority="187" stopIfTrue="1">
      <formula>IF($S22&lt;3,TRUE,)</formula>
    </cfRule>
  </conditionalFormatting>
  <conditionalFormatting sqref="G22:G23">
    <cfRule type="expression" dxfId="2212" priority="186" stopIfTrue="1">
      <formula>IF($S22&lt;2,TRUE,)</formula>
    </cfRule>
  </conditionalFormatting>
  <conditionalFormatting sqref="F22:F23">
    <cfRule type="expression" dxfId="2211" priority="185" stopIfTrue="1">
      <formula>IF($S22&lt;1,TRUE,)</formula>
    </cfRule>
  </conditionalFormatting>
  <conditionalFormatting sqref="O22:O23">
    <cfRule type="expression" dxfId="2210" priority="184" stopIfTrue="1">
      <formula>IF($S22&lt;10,TRUE,)</formula>
    </cfRule>
  </conditionalFormatting>
  <conditionalFormatting sqref="N42">
    <cfRule type="expression" dxfId="2209" priority="182" stopIfTrue="1">
      <formula>IF($S42&lt;9,TRUE,)</formula>
    </cfRule>
  </conditionalFormatting>
  <conditionalFormatting sqref="M42">
    <cfRule type="expression" dxfId="2208" priority="181" stopIfTrue="1">
      <formula>IF($S42&lt;8,TRUE,)</formula>
    </cfRule>
  </conditionalFormatting>
  <conditionalFormatting sqref="L42">
    <cfRule type="expression" dxfId="2207" priority="180" stopIfTrue="1">
      <formula>IF($S42&lt;7,TRUE,)</formula>
    </cfRule>
  </conditionalFormatting>
  <conditionalFormatting sqref="K42">
    <cfRule type="expression" dxfId="2206" priority="179" stopIfTrue="1">
      <formula>IF($S42&lt;6,TRUE,)</formula>
    </cfRule>
  </conditionalFormatting>
  <conditionalFormatting sqref="J42">
    <cfRule type="expression" dxfId="2205" priority="178" stopIfTrue="1">
      <formula>IF($S42&lt;5,TRUE,)</formula>
    </cfRule>
  </conditionalFormatting>
  <conditionalFormatting sqref="I42">
    <cfRule type="expression" dxfId="2204" priority="177" stopIfTrue="1">
      <formula>IF($S42&lt;4,TRUE,)</formula>
    </cfRule>
  </conditionalFormatting>
  <conditionalFormatting sqref="H42">
    <cfRule type="expression" dxfId="2203" priority="176" stopIfTrue="1">
      <formula>IF($S42&lt;3,TRUE,)</formula>
    </cfRule>
  </conditionalFormatting>
  <conditionalFormatting sqref="G42">
    <cfRule type="expression" dxfId="2202" priority="175" stopIfTrue="1">
      <formula>IF($S42&lt;2,TRUE,)</formula>
    </cfRule>
  </conditionalFormatting>
  <conditionalFormatting sqref="F42">
    <cfRule type="expression" dxfId="2201" priority="174" stopIfTrue="1">
      <formula>IF($S42&lt;1,TRUE,)</formula>
    </cfRule>
  </conditionalFormatting>
  <conditionalFormatting sqref="O42">
    <cfRule type="expression" dxfId="2200" priority="173" stopIfTrue="1">
      <formula>IF($S42&lt;10,TRUE,)</formula>
    </cfRule>
  </conditionalFormatting>
  <conditionalFormatting sqref="N31:N32">
    <cfRule type="expression" dxfId="2199" priority="171" stopIfTrue="1">
      <formula>IF($S31&lt;9,TRUE,)</formula>
    </cfRule>
  </conditionalFormatting>
  <conditionalFormatting sqref="M31:M32">
    <cfRule type="expression" dxfId="2198" priority="170" stopIfTrue="1">
      <formula>IF($S31&lt;8,TRUE,)</formula>
    </cfRule>
  </conditionalFormatting>
  <conditionalFormatting sqref="L31:L32">
    <cfRule type="expression" dxfId="2197" priority="169" stopIfTrue="1">
      <formula>IF($S31&lt;7,TRUE,)</formula>
    </cfRule>
  </conditionalFormatting>
  <conditionalFormatting sqref="K31:K32">
    <cfRule type="expression" dxfId="2196" priority="168" stopIfTrue="1">
      <formula>IF($S31&lt;6,TRUE,)</formula>
    </cfRule>
  </conditionalFormatting>
  <conditionalFormatting sqref="J31:J32">
    <cfRule type="expression" dxfId="2195" priority="167" stopIfTrue="1">
      <formula>IF($S31&lt;5,TRUE,)</formula>
    </cfRule>
  </conditionalFormatting>
  <conditionalFormatting sqref="I31:I32">
    <cfRule type="expression" dxfId="2194" priority="166" stopIfTrue="1">
      <formula>IF($S31&lt;4,TRUE,)</formula>
    </cfRule>
  </conditionalFormatting>
  <conditionalFormatting sqref="H31:H32">
    <cfRule type="expression" dxfId="2193" priority="165" stopIfTrue="1">
      <formula>IF($S31&lt;3,TRUE,)</formula>
    </cfRule>
  </conditionalFormatting>
  <conditionalFormatting sqref="G31:G32">
    <cfRule type="expression" dxfId="2192" priority="164" stopIfTrue="1">
      <formula>IF($S31&lt;2,TRUE,)</formula>
    </cfRule>
  </conditionalFormatting>
  <conditionalFormatting sqref="F31:F32">
    <cfRule type="expression" dxfId="2191" priority="163" stopIfTrue="1">
      <formula>IF($S31&lt;1,TRUE,)</formula>
    </cfRule>
  </conditionalFormatting>
  <conditionalFormatting sqref="O31:O32">
    <cfRule type="expression" dxfId="2190" priority="162" stopIfTrue="1">
      <formula>IF($S31&lt;10,TRUE,)</formula>
    </cfRule>
  </conditionalFormatting>
  <conditionalFormatting sqref="N38:N39">
    <cfRule type="expression" dxfId="2189" priority="160" stopIfTrue="1">
      <formula>IF($S38&lt;9,TRUE,)</formula>
    </cfRule>
  </conditionalFormatting>
  <conditionalFormatting sqref="M38:M39">
    <cfRule type="expression" dxfId="2188" priority="159" stopIfTrue="1">
      <formula>IF($S38&lt;8,TRUE,)</formula>
    </cfRule>
  </conditionalFormatting>
  <conditionalFormatting sqref="L38:L39">
    <cfRule type="expression" dxfId="2187" priority="158" stopIfTrue="1">
      <formula>IF($S38&lt;7,TRUE,)</formula>
    </cfRule>
  </conditionalFormatting>
  <conditionalFormatting sqref="K38:K39">
    <cfRule type="expression" dxfId="2186" priority="157" stopIfTrue="1">
      <formula>IF($S38&lt;6,TRUE,)</formula>
    </cfRule>
  </conditionalFormatting>
  <conditionalFormatting sqref="J38:J39">
    <cfRule type="expression" dxfId="2185" priority="156" stopIfTrue="1">
      <formula>IF($S38&lt;5,TRUE,)</formula>
    </cfRule>
  </conditionalFormatting>
  <conditionalFormatting sqref="I38:I39">
    <cfRule type="expression" dxfId="2184" priority="155" stopIfTrue="1">
      <formula>IF($S38&lt;4,TRUE,)</formula>
    </cfRule>
  </conditionalFormatting>
  <conditionalFormatting sqref="H38:H39">
    <cfRule type="expression" dxfId="2183" priority="154" stopIfTrue="1">
      <formula>IF($S38&lt;3,TRUE,)</formula>
    </cfRule>
  </conditionalFormatting>
  <conditionalFormatting sqref="G38:G39">
    <cfRule type="expression" dxfId="2182" priority="153" stopIfTrue="1">
      <formula>IF($S38&lt;2,TRUE,)</formula>
    </cfRule>
  </conditionalFormatting>
  <conditionalFormatting sqref="F38:F39">
    <cfRule type="expression" dxfId="2181" priority="152" stopIfTrue="1">
      <formula>IF($S38&lt;1,TRUE,)</formula>
    </cfRule>
  </conditionalFormatting>
  <conditionalFormatting sqref="O38:O39">
    <cfRule type="expression" dxfId="2180" priority="151" stopIfTrue="1">
      <formula>IF($S38&lt;10,TRUE,)</formula>
    </cfRule>
  </conditionalFormatting>
  <conditionalFormatting sqref="N17:N18">
    <cfRule type="expression" dxfId="2179" priority="149" stopIfTrue="1">
      <formula>IF($S17&lt;9,TRUE,)</formula>
    </cfRule>
  </conditionalFormatting>
  <conditionalFormatting sqref="M17:M18">
    <cfRule type="expression" dxfId="2178" priority="148" stopIfTrue="1">
      <formula>IF($S17&lt;8,TRUE,)</formula>
    </cfRule>
  </conditionalFormatting>
  <conditionalFormatting sqref="L17:L18">
    <cfRule type="expression" dxfId="2177" priority="147" stopIfTrue="1">
      <formula>IF($S17&lt;7,TRUE,)</formula>
    </cfRule>
  </conditionalFormatting>
  <conditionalFormatting sqref="K17:K18">
    <cfRule type="expression" dxfId="2176" priority="146" stopIfTrue="1">
      <formula>IF($S17&lt;6,TRUE,)</formula>
    </cfRule>
  </conditionalFormatting>
  <conditionalFormatting sqref="J17:J18">
    <cfRule type="expression" dxfId="2175" priority="145" stopIfTrue="1">
      <formula>IF($S17&lt;5,TRUE,)</formula>
    </cfRule>
  </conditionalFormatting>
  <conditionalFormatting sqref="I17:I18">
    <cfRule type="expression" dxfId="2174" priority="144" stopIfTrue="1">
      <formula>IF($S17&lt;4,TRUE,)</formula>
    </cfRule>
  </conditionalFormatting>
  <conditionalFormatting sqref="H17:H18">
    <cfRule type="expression" dxfId="2173" priority="143" stopIfTrue="1">
      <formula>IF($S17&lt;3,TRUE,)</formula>
    </cfRule>
  </conditionalFormatting>
  <conditionalFormatting sqref="G17:G18">
    <cfRule type="expression" dxfId="2172" priority="142" stopIfTrue="1">
      <formula>IF($S17&lt;2,TRUE,)</formula>
    </cfRule>
  </conditionalFormatting>
  <conditionalFormatting sqref="F17:F18">
    <cfRule type="expression" dxfId="2171" priority="141" stopIfTrue="1">
      <formula>IF($S17&lt;1,TRUE,)</formula>
    </cfRule>
  </conditionalFormatting>
  <conditionalFormatting sqref="O17:O18">
    <cfRule type="expression" dxfId="2170" priority="140" stopIfTrue="1">
      <formula>IF($S17&lt;10,TRUE,)</formula>
    </cfRule>
  </conditionalFormatting>
  <conditionalFormatting sqref="N24:N25">
    <cfRule type="expression" dxfId="2169" priority="138" stopIfTrue="1">
      <formula>IF($S24&lt;9,TRUE,)</formula>
    </cfRule>
  </conditionalFormatting>
  <conditionalFormatting sqref="M24:M25">
    <cfRule type="expression" dxfId="2168" priority="137" stopIfTrue="1">
      <formula>IF($S24&lt;8,TRUE,)</formula>
    </cfRule>
  </conditionalFormatting>
  <conditionalFormatting sqref="L24:L25">
    <cfRule type="expression" dxfId="2167" priority="136" stopIfTrue="1">
      <formula>IF($S24&lt;7,TRUE,)</formula>
    </cfRule>
  </conditionalFormatting>
  <conditionalFormatting sqref="K24:K25">
    <cfRule type="expression" dxfId="2166" priority="135" stopIfTrue="1">
      <formula>IF($S24&lt;6,TRUE,)</formula>
    </cfRule>
  </conditionalFormatting>
  <conditionalFormatting sqref="J24:J25">
    <cfRule type="expression" dxfId="2165" priority="134" stopIfTrue="1">
      <formula>IF($S24&lt;5,TRUE,)</formula>
    </cfRule>
  </conditionalFormatting>
  <conditionalFormatting sqref="I24:I25">
    <cfRule type="expression" dxfId="2164" priority="133" stopIfTrue="1">
      <formula>IF($S24&lt;4,TRUE,)</formula>
    </cfRule>
  </conditionalFormatting>
  <conditionalFormatting sqref="H24:H25">
    <cfRule type="expression" dxfId="2163" priority="132" stopIfTrue="1">
      <formula>IF($S24&lt;3,TRUE,)</formula>
    </cfRule>
  </conditionalFormatting>
  <conditionalFormatting sqref="G24:G25">
    <cfRule type="expression" dxfId="2162" priority="131" stopIfTrue="1">
      <formula>IF($S24&lt;2,TRUE,)</formula>
    </cfRule>
  </conditionalFormatting>
  <conditionalFormatting sqref="F24:F25">
    <cfRule type="expression" dxfId="2161" priority="130" stopIfTrue="1">
      <formula>IF($S24&lt;1,TRUE,)</formula>
    </cfRule>
  </conditionalFormatting>
  <conditionalFormatting sqref="O24:O25">
    <cfRule type="expression" dxfId="2160" priority="129" stopIfTrue="1">
      <formula>IF($S24&lt;10,TRUE,)</formula>
    </cfRule>
  </conditionalFormatting>
  <conditionalFormatting sqref="N33:N34">
    <cfRule type="expression" dxfId="2159" priority="127" stopIfTrue="1">
      <formula>IF($S33&lt;9,TRUE,)</formula>
    </cfRule>
  </conditionalFormatting>
  <conditionalFormatting sqref="M33:M34">
    <cfRule type="expression" dxfId="2158" priority="126" stopIfTrue="1">
      <formula>IF($S33&lt;8,TRUE,)</formula>
    </cfRule>
  </conditionalFormatting>
  <conditionalFormatting sqref="L33:L34">
    <cfRule type="expression" dxfId="2157" priority="125" stopIfTrue="1">
      <formula>IF($S33&lt;7,TRUE,)</formula>
    </cfRule>
  </conditionalFormatting>
  <conditionalFormatting sqref="K33:K34">
    <cfRule type="expression" dxfId="2156" priority="124" stopIfTrue="1">
      <formula>IF($S33&lt;6,TRUE,)</formula>
    </cfRule>
  </conditionalFormatting>
  <conditionalFormatting sqref="J33:J34">
    <cfRule type="expression" dxfId="2155" priority="123" stopIfTrue="1">
      <formula>IF($S33&lt;5,TRUE,)</formula>
    </cfRule>
  </conditionalFormatting>
  <conditionalFormatting sqref="I33:I34">
    <cfRule type="expression" dxfId="2154" priority="122" stopIfTrue="1">
      <formula>IF($S33&lt;4,TRUE,)</formula>
    </cfRule>
  </conditionalFormatting>
  <conditionalFormatting sqref="H33:H34">
    <cfRule type="expression" dxfId="2153" priority="121" stopIfTrue="1">
      <formula>IF($S33&lt;3,TRUE,)</formula>
    </cfRule>
  </conditionalFormatting>
  <conditionalFormatting sqref="G33:G34">
    <cfRule type="expression" dxfId="2152" priority="120" stopIfTrue="1">
      <formula>IF($S33&lt;2,TRUE,)</formula>
    </cfRule>
  </conditionalFormatting>
  <conditionalFormatting sqref="F33:F34">
    <cfRule type="expression" dxfId="2151" priority="119" stopIfTrue="1">
      <formula>IF($S33&lt;1,TRUE,)</formula>
    </cfRule>
  </conditionalFormatting>
  <conditionalFormatting sqref="O33:O34">
    <cfRule type="expression" dxfId="2150" priority="118" stopIfTrue="1">
      <formula>IF($S33&lt;10,TRUE,)</formula>
    </cfRule>
  </conditionalFormatting>
  <conditionalFormatting sqref="N40:N41">
    <cfRule type="expression" dxfId="2149" priority="116" stopIfTrue="1">
      <formula>IF($S40&lt;9,TRUE,)</formula>
    </cfRule>
  </conditionalFormatting>
  <conditionalFormatting sqref="M40:M41">
    <cfRule type="expression" dxfId="2148" priority="115" stopIfTrue="1">
      <formula>IF($S40&lt;8,TRUE,)</formula>
    </cfRule>
  </conditionalFormatting>
  <conditionalFormatting sqref="L40:L41">
    <cfRule type="expression" dxfId="2147" priority="114" stopIfTrue="1">
      <formula>IF($S40&lt;7,TRUE,)</formula>
    </cfRule>
  </conditionalFormatting>
  <conditionalFormatting sqref="K40:K41">
    <cfRule type="expression" dxfId="2146" priority="113" stopIfTrue="1">
      <formula>IF($S40&lt;6,TRUE,)</formula>
    </cfRule>
  </conditionalFormatting>
  <conditionalFormatting sqref="J40:J41">
    <cfRule type="expression" dxfId="2145" priority="112" stopIfTrue="1">
      <formula>IF($S40&lt;5,TRUE,)</formula>
    </cfRule>
  </conditionalFormatting>
  <conditionalFormatting sqref="I40:I41">
    <cfRule type="expression" dxfId="2144" priority="111" stopIfTrue="1">
      <formula>IF($S40&lt;4,TRUE,)</formula>
    </cfRule>
  </conditionalFormatting>
  <conditionalFormatting sqref="H40:H41">
    <cfRule type="expression" dxfId="2143" priority="110" stopIfTrue="1">
      <formula>IF($S40&lt;3,TRUE,)</formula>
    </cfRule>
  </conditionalFormatting>
  <conditionalFormatting sqref="G40:G41">
    <cfRule type="expression" dxfId="2142" priority="109" stopIfTrue="1">
      <formula>IF($S40&lt;2,TRUE,)</formula>
    </cfRule>
  </conditionalFormatting>
  <conditionalFormatting sqref="F40:F41">
    <cfRule type="expression" dxfId="2141" priority="108" stopIfTrue="1">
      <formula>IF($S40&lt;1,TRUE,)</formula>
    </cfRule>
  </conditionalFormatting>
  <conditionalFormatting sqref="O40:O41">
    <cfRule type="expression" dxfId="2140" priority="107" stopIfTrue="1">
      <formula>IF($S40&lt;10,TRUE,)</formula>
    </cfRule>
  </conditionalFormatting>
  <conditionalFormatting sqref="N58">
    <cfRule type="expression" dxfId="2139" priority="105" stopIfTrue="1">
      <formula>IF($S58&lt;9,TRUE,)</formula>
    </cfRule>
  </conditionalFormatting>
  <conditionalFormatting sqref="M58">
    <cfRule type="expression" dxfId="2138" priority="104" stopIfTrue="1">
      <formula>IF($S58&lt;8,TRUE,)</formula>
    </cfRule>
  </conditionalFormatting>
  <conditionalFormatting sqref="L58">
    <cfRule type="expression" dxfId="2137" priority="103" stopIfTrue="1">
      <formula>IF($S58&lt;7,TRUE,)</formula>
    </cfRule>
  </conditionalFormatting>
  <conditionalFormatting sqref="K58">
    <cfRule type="expression" dxfId="2136" priority="102" stopIfTrue="1">
      <formula>IF($S58&lt;6,TRUE,)</formula>
    </cfRule>
  </conditionalFormatting>
  <conditionalFormatting sqref="J58">
    <cfRule type="expression" dxfId="2135" priority="101" stopIfTrue="1">
      <formula>IF($S58&lt;5,TRUE,)</formula>
    </cfRule>
  </conditionalFormatting>
  <conditionalFormatting sqref="I58">
    <cfRule type="expression" dxfId="2134" priority="100" stopIfTrue="1">
      <formula>IF($S58&lt;4,TRUE,)</formula>
    </cfRule>
  </conditionalFormatting>
  <conditionalFormatting sqref="H58">
    <cfRule type="expression" dxfId="2133" priority="99" stopIfTrue="1">
      <formula>IF($S58&lt;3,TRUE,)</formula>
    </cfRule>
  </conditionalFormatting>
  <conditionalFormatting sqref="G58">
    <cfRule type="expression" dxfId="2132" priority="98" stopIfTrue="1">
      <formula>IF($S58&lt;2,TRUE,)</formula>
    </cfRule>
  </conditionalFormatting>
  <conditionalFormatting sqref="F58">
    <cfRule type="expression" dxfId="2131" priority="97" stopIfTrue="1">
      <formula>IF($S58&lt;1,TRUE,)</formula>
    </cfRule>
  </conditionalFormatting>
  <conditionalFormatting sqref="O58">
    <cfRule type="expression" dxfId="2130" priority="96" stopIfTrue="1">
      <formula>IF($S58&lt;10,TRUE,)</formula>
    </cfRule>
  </conditionalFormatting>
  <conditionalFormatting sqref="N47:N48">
    <cfRule type="expression" dxfId="2129" priority="94" stopIfTrue="1">
      <formula>IF($S47&lt;9,TRUE,)</formula>
    </cfRule>
  </conditionalFormatting>
  <conditionalFormatting sqref="M47:M48">
    <cfRule type="expression" dxfId="2128" priority="93" stopIfTrue="1">
      <formula>IF($S47&lt;8,TRUE,)</formula>
    </cfRule>
  </conditionalFormatting>
  <conditionalFormatting sqref="L47:L48">
    <cfRule type="expression" dxfId="2127" priority="92" stopIfTrue="1">
      <formula>IF($S47&lt;7,TRUE,)</formula>
    </cfRule>
  </conditionalFormatting>
  <conditionalFormatting sqref="K47:K48">
    <cfRule type="expression" dxfId="2126" priority="91" stopIfTrue="1">
      <formula>IF($S47&lt;6,TRUE,)</formula>
    </cfRule>
  </conditionalFormatting>
  <conditionalFormatting sqref="J47:J48">
    <cfRule type="expression" dxfId="2125" priority="90" stopIfTrue="1">
      <formula>IF($S47&lt;5,TRUE,)</formula>
    </cfRule>
  </conditionalFormatting>
  <conditionalFormatting sqref="I47:I48">
    <cfRule type="expression" dxfId="2124" priority="89" stopIfTrue="1">
      <formula>IF($S47&lt;4,TRUE,)</formula>
    </cfRule>
  </conditionalFormatting>
  <conditionalFormatting sqref="H47:H48">
    <cfRule type="expression" dxfId="2123" priority="88" stopIfTrue="1">
      <formula>IF($S47&lt;3,TRUE,)</formula>
    </cfRule>
  </conditionalFormatting>
  <conditionalFormatting sqref="G47:G48">
    <cfRule type="expression" dxfId="2122" priority="87" stopIfTrue="1">
      <formula>IF($S47&lt;2,TRUE,)</formula>
    </cfRule>
  </conditionalFormatting>
  <conditionalFormatting sqref="F47:F48">
    <cfRule type="expression" dxfId="2121" priority="86" stopIfTrue="1">
      <formula>IF($S47&lt;1,TRUE,)</formula>
    </cfRule>
  </conditionalFormatting>
  <conditionalFormatting sqref="O47:O48">
    <cfRule type="expression" dxfId="2120" priority="85" stopIfTrue="1">
      <formula>IF($S47&lt;10,TRUE,)</formula>
    </cfRule>
  </conditionalFormatting>
  <conditionalFormatting sqref="N54:N55">
    <cfRule type="expression" dxfId="2119" priority="83" stopIfTrue="1">
      <formula>IF($S54&lt;9,TRUE,)</formula>
    </cfRule>
  </conditionalFormatting>
  <conditionalFormatting sqref="M54:M55">
    <cfRule type="expression" dxfId="2118" priority="82" stopIfTrue="1">
      <formula>IF($S54&lt;8,TRUE,)</formula>
    </cfRule>
  </conditionalFormatting>
  <conditionalFormatting sqref="L54:L55">
    <cfRule type="expression" dxfId="2117" priority="81" stopIfTrue="1">
      <formula>IF($S54&lt;7,TRUE,)</formula>
    </cfRule>
  </conditionalFormatting>
  <conditionalFormatting sqref="K54:K55">
    <cfRule type="expression" dxfId="2116" priority="80" stopIfTrue="1">
      <formula>IF($S54&lt;6,TRUE,)</formula>
    </cfRule>
  </conditionalFormatting>
  <conditionalFormatting sqref="J54:J55">
    <cfRule type="expression" dxfId="2115" priority="79" stopIfTrue="1">
      <formula>IF($S54&lt;5,TRUE,)</formula>
    </cfRule>
  </conditionalFormatting>
  <conditionalFormatting sqref="I54:I55">
    <cfRule type="expression" dxfId="2114" priority="78" stopIfTrue="1">
      <formula>IF($S54&lt;4,TRUE,)</formula>
    </cfRule>
  </conditionalFormatting>
  <conditionalFormatting sqref="H54:H55">
    <cfRule type="expression" dxfId="2113" priority="77" stopIfTrue="1">
      <formula>IF($S54&lt;3,TRUE,)</formula>
    </cfRule>
  </conditionalFormatting>
  <conditionalFormatting sqref="G54:G55">
    <cfRule type="expression" dxfId="2112" priority="76" stopIfTrue="1">
      <formula>IF($S54&lt;2,TRUE,)</formula>
    </cfRule>
  </conditionalFormatting>
  <conditionalFormatting sqref="F54:F55">
    <cfRule type="expression" dxfId="2111" priority="75" stopIfTrue="1">
      <formula>IF($S54&lt;1,TRUE,)</formula>
    </cfRule>
  </conditionalFormatting>
  <conditionalFormatting sqref="O54:O55">
    <cfRule type="expression" dxfId="2110" priority="74" stopIfTrue="1">
      <formula>IF($S54&lt;10,TRUE,)</formula>
    </cfRule>
  </conditionalFormatting>
  <conditionalFormatting sqref="N49:N50">
    <cfRule type="expression" dxfId="2109" priority="72" stopIfTrue="1">
      <formula>IF($S49&lt;9,TRUE,)</formula>
    </cfRule>
  </conditionalFormatting>
  <conditionalFormatting sqref="M49:M50">
    <cfRule type="expression" dxfId="2108" priority="71" stopIfTrue="1">
      <formula>IF($S49&lt;8,TRUE,)</formula>
    </cfRule>
  </conditionalFormatting>
  <conditionalFormatting sqref="L49:L50">
    <cfRule type="expression" dxfId="2107" priority="70" stopIfTrue="1">
      <formula>IF($S49&lt;7,TRUE,)</formula>
    </cfRule>
  </conditionalFormatting>
  <conditionalFormatting sqref="K49:K50">
    <cfRule type="expression" dxfId="2106" priority="69" stopIfTrue="1">
      <formula>IF($S49&lt;6,TRUE,)</formula>
    </cfRule>
  </conditionalFormatting>
  <conditionalFormatting sqref="J49:J50">
    <cfRule type="expression" dxfId="2105" priority="68" stopIfTrue="1">
      <formula>IF($S49&lt;5,TRUE,)</formula>
    </cfRule>
  </conditionalFormatting>
  <conditionalFormatting sqref="I49:I50">
    <cfRule type="expression" dxfId="2104" priority="67" stopIfTrue="1">
      <formula>IF($S49&lt;4,TRUE,)</formula>
    </cfRule>
  </conditionalFormatting>
  <conditionalFormatting sqref="H49:H50">
    <cfRule type="expression" dxfId="2103" priority="66" stopIfTrue="1">
      <formula>IF($S49&lt;3,TRUE,)</formula>
    </cfRule>
  </conditionalFormatting>
  <conditionalFormatting sqref="G49:G50">
    <cfRule type="expression" dxfId="2102" priority="65" stopIfTrue="1">
      <formula>IF($S49&lt;2,TRUE,)</formula>
    </cfRule>
  </conditionalFormatting>
  <conditionalFormatting sqref="F49:F50">
    <cfRule type="expression" dxfId="2101" priority="64" stopIfTrue="1">
      <formula>IF($S49&lt;1,TRUE,)</formula>
    </cfRule>
  </conditionalFormatting>
  <conditionalFormatting sqref="O49:O50">
    <cfRule type="expression" dxfId="2100" priority="63" stopIfTrue="1">
      <formula>IF($S49&lt;10,TRUE,)</formula>
    </cfRule>
  </conditionalFormatting>
  <conditionalFormatting sqref="N56:N57">
    <cfRule type="expression" dxfId="2099" priority="61" stopIfTrue="1">
      <formula>IF($S56&lt;9,TRUE,)</formula>
    </cfRule>
  </conditionalFormatting>
  <conditionalFormatting sqref="M56:M57">
    <cfRule type="expression" dxfId="2098" priority="60" stopIfTrue="1">
      <formula>IF($S56&lt;8,TRUE,)</formula>
    </cfRule>
  </conditionalFormatting>
  <conditionalFormatting sqref="L56:L57">
    <cfRule type="expression" dxfId="2097" priority="59" stopIfTrue="1">
      <formula>IF($S56&lt;7,TRUE,)</formula>
    </cfRule>
  </conditionalFormatting>
  <conditionalFormatting sqref="K56:K57">
    <cfRule type="expression" dxfId="2096" priority="58" stopIfTrue="1">
      <formula>IF($S56&lt;6,TRUE,)</formula>
    </cfRule>
  </conditionalFormatting>
  <conditionalFormatting sqref="J56:J57">
    <cfRule type="expression" dxfId="2095" priority="57" stopIfTrue="1">
      <formula>IF($S56&lt;5,TRUE,)</formula>
    </cfRule>
  </conditionalFormatting>
  <conditionalFormatting sqref="I56:I57">
    <cfRule type="expression" dxfId="2094" priority="56" stopIfTrue="1">
      <formula>IF($S56&lt;4,TRUE,)</formula>
    </cfRule>
  </conditionalFormatting>
  <conditionalFormatting sqref="H56:H57">
    <cfRule type="expression" dxfId="2093" priority="55" stopIfTrue="1">
      <formula>IF($S56&lt;3,TRUE,)</formula>
    </cfRule>
  </conditionalFormatting>
  <conditionalFormatting sqref="G56:G57">
    <cfRule type="expression" dxfId="2092" priority="54" stopIfTrue="1">
      <formula>IF($S56&lt;2,TRUE,)</formula>
    </cfRule>
  </conditionalFormatting>
  <conditionalFormatting sqref="F56:F57">
    <cfRule type="expression" dxfId="2091" priority="53" stopIfTrue="1">
      <formula>IF($S56&lt;1,TRUE,)</formula>
    </cfRule>
  </conditionalFormatting>
  <conditionalFormatting sqref="O56:O57">
    <cfRule type="expression" dxfId="2090" priority="52" stopIfTrue="1">
      <formula>IF($S56&lt;10,TRUE,)</formula>
    </cfRule>
  </conditionalFormatting>
  <conditionalFormatting sqref="N58">
    <cfRule type="expression" dxfId="2089" priority="51" stopIfTrue="1">
      <formula>IF($S58&lt;9,TRUE,)</formula>
    </cfRule>
  </conditionalFormatting>
  <conditionalFormatting sqref="M58">
    <cfRule type="expression" dxfId="2088" priority="50" stopIfTrue="1">
      <formula>IF($S58&lt;8,TRUE,)</formula>
    </cfRule>
  </conditionalFormatting>
  <conditionalFormatting sqref="L58">
    <cfRule type="expression" dxfId="2087" priority="49" stopIfTrue="1">
      <formula>IF($S58&lt;7,TRUE,)</formula>
    </cfRule>
  </conditionalFormatting>
  <conditionalFormatting sqref="K58">
    <cfRule type="expression" dxfId="2086" priority="48" stopIfTrue="1">
      <formula>IF($S58&lt;6,TRUE,)</formula>
    </cfRule>
  </conditionalFormatting>
  <conditionalFormatting sqref="J58">
    <cfRule type="expression" dxfId="2085" priority="47" stopIfTrue="1">
      <formula>IF($S58&lt;5,TRUE,)</formula>
    </cfRule>
  </conditionalFormatting>
  <conditionalFormatting sqref="I58">
    <cfRule type="expression" dxfId="2084" priority="46" stopIfTrue="1">
      <formula>IF($S58&lt;4,TRUE,)</formula>
    </cfRule>
  </conditionalFormatting>
  <conditionalFormatting sqref="H58">
    <cfRule type="expression" dxfId="2083" priority="45" stopIfTrue="1">
      <formula>IF($S58&lt;3,TRUE,)</formula>
    </cfRule>
  </conditionalFormatting>
  <conditionalFormatting sqref="G58">
    <cfRule type="expression" dxfId="2082" priority="44" stopIfTrue="1">
      <formula>IF($S58&lt;2,TRUE,)</formula>
    </cfRule>
  </conditionalFormatting>
  <conditionalFormatting sqref="F58">
    <cfRule type="expression" dxfId="2081" priority="43" stopIfTrue="1">
      <formula>IF($S58&lt;1,TRUE,)</formula>
    </cfRule>
  </conditionalFormatting>
  <conditionalFormatting sqref="O58">
    <cfRule type="expression" dxfId="2080" priority="42" stopIfTrue="1">
      <formula>IF($S58&lt;10,TRUE,)</formula>
    </cfRule>
  </conditionalFormatting>
  <conditionalFormatting sqref="N47:N48">
    <cfRule type="expression" dxfId="2079" priority="41" stopIfTrue="1">
      <formula>IF($S47&lt;9,TRUE,)</formula>
    </cfRule>
  </conditionalFormatting>
  <conditionalFormatting sqref="M47:M48">
    <cfRule type="expression" dxfId="2078" priority="40" stopIfTrue="1">
      <formula>IF($S47&lt;8,TRUE,)</formula>
    </cfRule>
  </conditionalFormatting>
  <conditionalFormatting sqref="L47:L48">
    <cfRule type="expression" dxfId="2077" priority="39" stopIfTrue="1">
      <formula>IF($S47&lt;7,TRUE,)</formula>
    </cfRule>
  </conditionalFormatting>
  <conditionalFormatting sqref="K47:K48">
    <cfRule type="expression" dxfId="2076" priority="38" stopIfTrue="1">
      <formula>IF($S47&lt;6,TRUE,)</formula>
    </cfRule>
  </conditionalFormatting>
  <conditionalFormatting sqref="J47:J48">
    <cfRule type="expression" dxfId="2075" priority="37" stopIfTrue="1">
      <formula>IF($S47&lt;5,TRUE,)</formula>
    </cfRule>
  </conditionalFormatting>
  <conditionalFormatting sqref="I47:I48">
    <cfRule type="expression" dxfId="2074" priority="36" stopIfTrue="1">
      <formula>IF($S47&lt;4,TRUE,)</formula>
    </cfRule>
  </conditionalFormatting>
  <conditionalFormatting sqref="H47:H48">
    <cfRule type="expression" dxfId="2073" priority="35" stopIfTrue="1">
      <formula>IF($S47&lt;3,TRUE,)</formula>
    </cfRule>
  </conditionalFormatting>
  <conditionalFormatting sqref="G47:G48">
    <cfRule type="expression" dxfId="2072" priority="34" stopIfTrue="1">
      <formula>IF($S47&lt;2,TRUE,)</formula>
    </cfRule>
  </conditionalFormatting>
  <conditionalFormatting sqref="F47:F48">
    <cfRule type="expression" dxfId="2071" priority="33" stopIfTrue="1">
      <formula>IF($S47&lt;1,TRUE,)</formula>
    </cfRule>
  </conditionalFormatting>
  <conditionalFormatting sqref="O47:O48">
    <cfRule type="expression" dxfId="2070" priority="32" stopIfTrue="1">
      <formula>IF($S47&lt;10,TRUE,)</formula>
    </cfRule>
  </conditionalFormatting>
  <conditionalFormatting sqref="N54:N55">
    <cfRule type="expression" dxfId="2069" priority="31" stopIfTrue="1">
      <formula>IF($S54&lt;9,TRUE,)</formula>
    </cfRule>
  </conditionalFormatting>
  <conditionalFormatting sqref="M54:M55">
    <cfRule type="expression" dxfId="2068" priority="30" stopIfTrue="1">
      <formula>IF($S54&lt;8,TRUE,)</formula>
    </cfRule>
  </conditionalFormatting>
  <conditionalFormatting sqref="L54:L55">
    <cfRule type="expression" dxfId="2067" priority="29" stopIfTrue="1">
      <formula>IF($S54&lt;7,TRUE,)</formula>
    </cfRule>
  </conditionalFormatting>
  <conditionalFormatting sqref="K54:K55">
    <cfRule type="expression" dxfId="2066" priority="28" stopIfTrue="1">
      <formula>IF($S54&lt;6,TRUE,)</formula>
    </cfRule>
  </conditionalFormatting>
  <conditionalFormatting sqref="J54:J55">
    <cfRule type="expression" dxfId="2065" priority="27" stopIfTrue="1">
      <formula>IF($S54&lt;5,TRUE,)</formula>
    </cfRule>
  </conditionalFormatting>
  <conditionalFormatting sqref="I54:I55">
    <cfRule type="expression" dxfId="2064" priority="26" stopIfTrue="1">
      <formula>IF($S54&lt;4,TRUE,)</formula>
    </cfRule>
  </conditionalFormatting>
  <conditionalFormatting sqref="H54:H55">
    <cfRule type="expression" dxfId="2063" priority="25" stopIfTrue="1">
      <formula>IF($S54&lt;3,TRUE,)</formula>
    </cfRule>
  </conditionalFormatting>
  <conditionalFormatting sqref="G54:G55">
    <cfRule type="expression" dxfId="2062" priority="24" stopIfTrue="1">
      <formula>IF($S54&lt;2,TRUE,)</formula>
    </cfRule>
  </conditionalFormatting>
  <conditionalFormatting sqref="F54:F55">
    <cfRule type="expression" dxfId="2061" priority="23" stopIfTrue="1">
      <formula>IF($S54&lt;1,TRUE,)</formula>
    </cfRule>
  </conditionalFormatting>
  <conditionalFormatting sqref="O54:O55">
    <cfRule type="expression" dxfId="2060" priority="22" stopIfTrue="1">
      <formula>IF($S54&lt;10,TRUE,)</formula>
    </cfRule>
  </conditionalFormatting>
  <conditionalFormatting sqref="N49:N50">
    <cfRule type="expression" dxfId="2059" priority="21" stopIfTrue="1">
      <formula>IF($S49&lt;9,TRUE,)</formula>
    </cfRule>
  </conditionalFormatting>
  <conditionalFormatting sqref="M49:M50">
    <cfRule type="expression" dxfId="2058" priority="20" stopIfTrue="1">
      <formula>IF($S49&lt;8,TRUE,)</formula>
    </cfRule>
  </conditionalFormatting>
  <conditionalFormatting sqref="L49:L50">
    <cfRule type="expression" dxfId="2057" priority="19" stopIfTrue="1">
      <formula>IF($S49&lt;7,TRUE,)</formula>
    </cfRule>
  </conditionalFormatting>
  <conditionalFormatting sqref="K49:K50">
    <cfRule type="expression" dxfId="2056" priority="18" stopIfTrue="1">
      <formula>IF($S49&lt;6,TRUE,)</formula>
    </cfRule>
  </conditionalFormatting>
  <conditionalFormatting sqref="J49:J50">
    <cfRule type="expression" dxfId="2055" priority="17" stopIfTrue="1">
      <formula>IF($S49&lt;5,TRUE,)</formula>
    </cfRule>
  </conditionalFormatting>
  <conditionalFormatting sqref="I49:I50">
    <cfRule type="expression" dxfId="2054" priority="16" stopIfTrue="1">
      <formula>IF($S49&lt;4,TRUE,)</formula>
    </cfRule>
  </conditionalFormatting>
  <conditionalFormatting sqref="H49:H50">
    <cfRule type="expression" dxfId="2053" priority="15" stopIfTrue="1">
      <formula>IF($S49&lt;3,TRUE,)</formula>
    </cfRule>
  </conditionalFormatting>
  <conditionalFormatting sqref="G49:G50">
    <cfRule type="expression" dxfId="2052" priority="14" stopIfTrue="1">
      <formula>IF($S49&lt;2,TRUE,)</formula>
    </cfRule>
  </conditionalFormatting>
  <conditionalFormatting sqref="F49:F50">
    <cfRule type="expression" dxfId="2051" priority="13" stopIfTrue="1">
      <formula>IF($S49&lt;1,TRUE,)</formula>
    </cfRule>
  </conditionalFormatting>
  <conditionalFormatting sqref="O49:O50">
    <cfRule type="expression" dxfId="2050" priority="12" stopIfTrue="1">
      <formula>IF($S49&lt;10,TRUE,)</formula>
    </cfRule>
  </conditionalFormatting>
  <conditionalFormatting sqref="N56:N57">
    <cfRule type="expression" dxfId="2049" priority="11" stopIfTrue="1">
      <formula>IF($S56&lt;9,TRUE,)</formula>
    </cfRule>
  </conditionalFormatting>
  <conditionalFormatting sqref="M56:M57">
    <cfRule type="expression" dxfId="2048" priority="10" stopIfTrue="1">
      <formula>IF($S56&lt;8,TRUE,)</formula>
    </cfRule>
  </conditionalFormatting>
  <conditionalFormatting sqref="L56:L57">
    <cfRule type="expression" dxfId="2047" priority="9" stopIfTrue="1">
      <formula>IF($S56&lt;7,TRUE,)</formula>
    </cfRule>
  </conditionalFormatting>
  <conditionalFormatting sqref="K56:K57">
    <cfRule type="expression" dxfId="2046" priority="8" stopIfTrue="1">
      <formula>IF($S56&lt;6,TRUE,)</formula>
    </cfRule>
  </conditionalFormatting>
  <conditionalFormatting sqref="J56:J57">
    <cfRule type="expression" dxfId="2045" priority="7" stopIfTrue="1">
      <formula>IF($S56&lt;5,TRUE,)</formula>
    </cfRule>
  </conditionalFormatting>
  <conditionalFormatting sqref="I56:I57">
    <cfRule type="expression" dxfId="2044" priority="6" stopIfTrue="1">
      <formula>IF($S56&lt;4,TRUE,)</formula>
    </cfRule>
  </conditionalFormatting>
  <conditionalFormatting sqref="H56:H57">
    <cfRule type="expression" dxfId="2043" priority="5" stopIfTrue="1">
      <formula>IF($S56&lt;3,TRUE,)</formula>
    </cfRule>
  </conditionalFormatting>
  <conditionalFormatting sqref="G56:G57">
    <cfRule type="expression" dxfId="2042" priority="4" stopIfTrue="1">
      <formula>IF($S56&lt;2,TRUE,)</formula>
    </cfRule>
  </conditionalFormatting>
  <conditionalFormatting sqref="F56:F57">
    <cfRule type="expression" dxfId="2041" priority="3" stopIfTrue="1">
      <formula>IF($S56&lt;1,TRUE,)</formula>
    </cfRule>
  </conditionalFormatting>
  <conditionalFormatting sqref="O56:O57">
    <cfRule type="expression" dxfId="2040" priority="2" stopIfTrue="1">
      <formula>IF($S56&lt;10,TRUE,)</formula>
    </cfRule>
  </conditionalFormatting>
  <dataValidations xWindow="726" yWindow="369" count="11">
    <dataValidation allowBlank="1" showInputMessage="1" showErrorMessage="1" promptTitle="ENTER NAME" prompt="Enter the name of the STAFF or FUNCTION involved with DEVELOPING the project._x000a_" sqref="D15:D18 D47:D50 D31:D34 D6"/>
    <dataValidation type="list" allowBlank="1" showInputMessage="1" showErrorMessage="1" sqref="P59">
      <formula1>R.DDL_DEQStaffRank</formula1>
    </dataValidation>
    <dataValidation type="list" allowBlank="1" showInputMessage="1" showErrorMessage="1" promptTitle="DROP DOWN LIST" prompt="Select a range of hours from the drop down list that best describes how involved this resource will be in IMPLEMENTING this project." sqref="E22:E25 E38:E41 E54:E57">
      <formula1>R.DDL_DEQResourcesInvolved</formula1>
    </dataValidation>
    <dataValidation type="list" allowBlank="1" showInputMessage="1" showErrorMessage="1" promptTitle="DROP DOWN LIST" prompt="Select a range of hours from the drop down list that best describes how involved this resource will be in DEVELOPING this project." sqref="E15:E18 E31:E34 E47:E50">
      <formula1>R.DDL_DEQResourcesInvolved</formula1>
    </dataValidation>
    <dataValidation allowBlank="1" showInputMessage="1" showErrorMessage="1" promptTitle="ENTER NAME" prompt="Enter the name of the STAFF or FUNCTION involved with IMPLEMENTING the project._x000a_" sqref="D22:D25 D54:D57 D38:D41"/>
    <dataValidation type="list" allowBlank="1" showInputMessage="1" showErrorMessage="1" promptTitle="DROP DOWN LIST" prompt="Select whether the named person is staff, a manager or an administrator. Leave this cell blank if you entered a FUNCTION name or left the name blank." sqref="P15:P18 P54:P57 P47:P50 P38:P41 P31:P34 P22:P25">
      <formula1>R.DDL_DEQStaffRank</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60:P60"/>
    <dataValidation type="textLength" allowBlank="1" showInputMessage="1" showErrorMessage="1" promptTitle="DESCRIBE INVOLVEMENT" prompt="_x000a_Describe how this resource would be involved with the proposal during the implementation phase of the rule." sqref="D20:P20 D52:P52 D36:P36">
      <formula1>0</formula1>
      <formula2>5000</formula2>
    </dataValidation>
    <dataValidation type="textLength" allowBlank="1" showInputMessage="1" showErrorMessage="1" promptTitle="DESCRIBE INVOLVEMENT" prompt="_x000a_Describe how this resource would be involved with the proposal during the development phase of the rule." sqref="D13:P13 D29:P29">
      <formula1>0</formula1>
      <formula2>5000</formula2>
    </dataValidation>
    <dataValidation type="textLength" allowBlank="1" showInputMessage="1" showErrorMessage="1" promptTitle="DESCRIBE INVOLVEMENT" prompt="_x000a_Describe how this resource would be involved with the proposal during the development phase of the rule._x000a_" sqref="D45:P45">
      <formula1>0</formula1>
      <formula2>5000</formula2>
    </dataValidation>
    <dataValidation allowBlank="1" showErrorMessage="1" sqref="D7:P8"/>
  </dataValidations>
  <hyperlinks>
    <hyperlink ref="A1" location="R.0Header" display="⧀ Go to Content"/>
    <hyperlink ref="A11" r:id="rId1" display="⧀ on Q-net"/>
    <hyperlink ref="A27" r:id="rId2" display="⧀ on Q-net"/>
    <hyperlink ref="A43" r:id="rId3" display="⧁ on Q-net"/>
    <hyperlink ref="A61" location="R.8Header" display="Go to Top"/>
  </hyperlinks>
  <pageMargins left="0.25" right="0.25" top="0.41" bottom="0.4" header="0.3" footer="0.3"/>
  <pageSetup orientation="portrait" horizontalDpi="4294967293" verticalDpi="4294967293" r:id="rId4"/>
  <rowBreaks count="1" manualBreakCount="1">
    <brk id="26" min="2" max="16" man="1"/>
  </rowBreaks>
  <drawing r:id="rId5"/>
  <legacyDrawing r:id="rId6"/>
</worksheet>
</file>

<file path=xl/worksheets/sheet13.xml><?xml version="1.0" encoding="utf-8"?>
<worksheet xmlns="http://schemas.openxmlformats.org/spreadsheetml/2006/main" xmlns:r="http://schemas.openxmlformats.org/officeDocument/2006/relationships">
  <sheetPr codeName="Sheet15"/>
  <dimension ref="A1:AG70"/>
  <sheetViews>
    <sheetView showGridLines="0" topLeftCell="A38" zoomScaleNormal="100" workbookViewId="0">
      <selection activeCell="E54" sqref="E54"/>
    </sheetView>
  </sheetViews>
  <sheetFormatPr defaultColWidth="9" defaultRowHeight="20.25" outlineLevelRow="1" outlineLevelCol="1"/>
  <cols>
    <col min="1" max="1" width="14.375" style="312" customWidth="1"/>
    <col min="2" max="2" width="2.625" customWidth="1"/>
    <col min="3" max="3" width="2.625" style="44" customWidth="1"/>
    <col min="4" max="4" width="40.5" style="102" customWidth="1"/>
    <col min="5" max="5" width="15.75" style="102" customWidth="1"/>
    <col min="6" max="15" width="1.625" style="102" customWidth="1"/>
    <col min="16" max="16" width="15.75" style="102" customWidth="1"/>
    <col min="17" max="17" width="2.625" style="102" customWidth="1"/>
    <col min="18" max="18" width="2.625" style="64" customWidth="1"/>
    <col min="19" max="19" width="9" style="113" hidden="1" customWidth="1" outlineLevel="1"/>
    <col min="20" max="20" width="14.875" style="64" hidden="1" customWidth="1" outlineLevel="1"/>
    <col min="21" max="21" width="14.625" style="64" hidden="1" customWidth="1" outlineLevel="1"/>
    <col min="22" max="22" width="26.5" style="64" customWidth="1" collapsed="1"/>
    <col min="23" max="23" width="16.5" style="64" customWidth="1"/>
    <col min="24" max="24" width="18" style="64" customWidth="1"/>
    <col min="25" max="32" width="31.125" style="64" customWidth="1"/>
    <col min="33" max="33" width="31.125" style="102" customWidth="1"/>
    <col min="34" max="16384" width="9" style="102"/>
  </cols>
  <sheetData>
    <row r="1" spans="1:33" s="64" customFormat="1" ht="20.25" customHeight="1">
      <c r="A1" s="351" t="s">
        <v>104</v>
      </c>
      <c r="B1" s="334"/>
      <c r="C1" s="334"/>
      <c r="D1" s="334"/>
      <c r="E1" s="334"/>
      <c r="F1" s="334"/>
      <c r="G1" s="334"/>
      <c r="H1" s="334"/>
      <c r="I1" s="334"/>
      <c r="J1" s="334"/>
      <c r="K1" s="334"/>
      <c r="L1" s="334"/>
      <c r="M1" s="334"/>
      <c r="N1" s="334"/>
      <c r="O1" s="334"/>
      <c r="P1" s="334"/>
      <c r="Q1" s="334"/>
      <c r="R1" s="334"/>
      <c r="S1" s="113"/>
    </row>
    <row r="2" spans="1:33" s="6" customFormat="1" ht="30" customHeight="1" thickBot="1">
      <c r="A2" s="350" t="s">
        <v>107</v>
      </c>
      <c r="B2" s="334"/>
      <c r="C2" s="332">
        <v>9</v>
      </c>
      <c r="D2" s="331" t="s">
        <v>78</v>
      </c>
      <c r="E2" s="713" t="str">
        <f>R.1MediaAndLongName</f>
        <v>CP Division 12 Updates</v>
      </c>
      <c r="F2" s="713"/>
      <c r="G2" s="713"/>
      <c r="H2" s="713"/>
      <c r="I2" s="713"/>
      <c r="J2" s="713"/>
      <c r="K2" s="713"/>
      <c r="L2" s="713"/>
      <c r="M2" s="713"/>
      <c r="N2" s="713"/>
      <c r="O2" s="713"/>
      <c r="P2" s="713"/>
      <c r="Q2" s="154"/>
      <c r="R2" s="334"/>
      <c r="S2" s="66"/>
      <c r="T2" s="66"/>
      <c r="U2" s="66"/>
      <c r="V2" s="120" t="s">
        <v>0</v>
      </c>
      <c r="W2" s="64"/>
      <c r="X2" s="64"/>
      <c r="Y2" s="64"/>
      <c r="Z2" s="64"/>
      <c r="AA2" s="64"/>
      <c r="AB2" s="64"/>
      <c r="AC2" s="64"/>
      <c r="AD2" s="66"/>
      <c r="AE2" s="66"/>
      <c r="AF2" s="66"/>
    </row>
    <row r="3" spans="1:33" s="6" customFormat="1" ht="20.25" customHeight="1" thickTop="1">
      <c r="A3" s="319"/>
      <c r="B3" s="334"/>
      <c r="C3" s="155"/>
      <c r="D3" s="96"/>
      <c r="E3" s="96"/>
      <c r="F3" s="82"/>
      <c r="G3" s="164"/>
      <c r="H3" s="164"/>
      <c r="I3" s="164"/>
      <c r="J3" s="97"/>
      <c r="K3" s="13"/>
      <c r="L3" s="13"/>
      <c r="M3" s="699" t="s">
        <v>57</v>
      </c>
      <c r="N3" s="699"/>
      <c r="O3" s="699"/>
      <c r="P3" s="699"/>
      <c r="Q3" s="156"/>
      <c r="R3" s="334"/>
      <c r="S3" s="119" t="str">
        <f>"R."&amp;$C$2&amp;"StaffCount"</f>
        <v>R.9StaffCount</v>
      </c>
      <c r="T3" s="119" t="str">
        <f>"R."&amp;$C$2&amp;"LowHrs"</f>
        <v>R.9LowHrs</v>
      </c>
      <c r="U3" s="349" t="str">
        <f>"R."&amp;$C$2&amp;"HighHrs"</f>
        <v>R.9HighHrs</v>
      </c>
      <c r="V3" s="120"/>
      <c r="W3" s="64"/>
      <c r="X3" s="64"/>
      <c r="Y3" s="64"/>
      <c r="Z3" s="64"/>
      <c r="AA3" s="64"/>
      <c r="AB3" s="64"/>
      <c r="AC3" s="64"/>
      <c r="AD3" s="66"/>
      <c r="AE3" s="66"/>
      <c r="AF3" s="66"/>
    </row>
    <row r="4" spans="1:33" s="6" customFormat="1" ht="20.25" customHeight="1">
      <c r="A4" s="319"/>
      <c r="B4" s="334"/>
      <c r="C4" s="155"/>
      <c r="D4" s="494" t="s">
        <v>55</v>
      </c>
      <c r="E4" s="81">
        <f>R.9StaffCount</f>
        <v>4</v>
      </c>
      <c r="F4" s="700" t="s">
        <v>54</v>
      </c>
      <c r="G4" s="700"/>
      <c r="H4" s="700"/>
      <c r="I4" s="700"/>
      <c r="J4" s="700"/>
      <c r="K4" s="700"/>
      <c r="L4" s="700"/>
      <c r="M4" s="701" t="str">
        <f>S5</f>
        <v>4-32</v>
      </c>
      <c r="N4" s="701"/>
      <c r="O4" s="701"/>
      <c r="P4" s="701"/>
      <c r="Q4" s="156"/>
      <c r="R4" s="334"/>
      <c r="S4" s="354">
        <f>COUNTIFS(S15:S57,"&gt;0")</f>
        <v>4</v>
      </c>
      <c r="T4" s="355">
        <f>SUM(T15:T57)</f>
        <v>4</v>
      </c>
      <c r="U4" s="355">
        <f>SUM(U15:U57)</f>
        <v>32</v>
      </c>
      <c r="V4" s="120"/>
      <c r="W4" s="64"/>
      <c r="X4" s="64"/>
      <c r="Y4" s="64"/>
      <c r="Z4" s="64"/>
      <c r="AA4" s="64"/>
      <c r="AB4" s="64"/>
      <c r="AC4" s="64"/>
      <c r="AD4" s="66"/>
      <c r="AE4" s="66"/>
      <c r="AF4" s="66"/>
    </row>
    <row r="5" spans="1:33" s="6" customFormat="1" ht="20.25" customHeight="1">
      <c r="A5" s="319"/>
      <c r="B5" s="334"/>
      <c r="C5" s="155"/>
      <c r="D5" s="494" t="s">
        <v>68</v>
      </c>
      <c r="E5" s="98">
        <f>R.AvgHrDEQCost</f>
        <v>58</v>
      </c>
      <c r="F5" s="700" t="s">
        <v>58</v>
      </c>
      <c r="G5" s="700"/>
      <c r="H5" s="700"/>
      <c r="I5" s="700"/>
      <c r="J5" s="700"/>
      <c r="K5" s="700"/>
      <c r="L5" s="700"/>
      <c r="M5" s="702" t="str">
        <f>S6</f>
        <v>$232-1,856</v>
      </c>
      <c r="N5" s="702"/>
      <c r="O5" s="702"/>
      <c r="P5" s="702"/>
      <c r="Q5" s="156"/>
      <c r="R5" s="334"/>
      <c r="S5" s="122" t="str">
        <f>IF(R.9StaffCount=0,"0",IF(R.9LowHrs=0,"0-"&amp;TEXT(R.9HighHrs,"#,###"),TEXT(R.9LowHrs,"#,###")&amp;"-"&amp;TEXT(R.9HighHrs,"#,###")))</f>
        <v>4-32</v>
      </c>
      <c r="T5" s="119" t="str">
        <f>"R."&amp;$C$2&amp;"LowDollars"</f>
        <v>R.9LowDollars</v>
      </c>
      <c r="U5" s="349" t="str">
        <f>"R."&amp;$C$2&amp;"HighDollars"</f>
        <v>R.9HighDollars</v>
      </c>
      <c r="V5" s="120"/>
      <c r="W5" s="64"/>
      <c r="X5" s="64"/>
      <c r="Y5" s="64"/>
      <c r="Z5" s="64"/>
      <c r="AA5" s="64"/>
      <c r="AB5" s="64"/>
      <c r="AC5" s="64"/>
      <c r="AD5" s="66"/>
      <c r="AE5" s="66"/>
      <c r="AF5" s="66"/>
    </row>
    <row r="6" spans="1:33" s="6" customFormat="1" ht="8.25" customHeight="1">
      <c r="A6" s="319"/>
      <c r="B6" s="334"/>
      <c r="C6" s="155"/>
      <c r="D6" s="110" t="s">
        <v>0</v>
      </c>
      <c r="E6" s="100"/>
      <c r="F6" s="99"/>
      <c r="G6" s="99"/>
      <c r="H6" s="99"/>
      <c r="I6" s="99"/>
      <c r="J6" s="99"/>
      <c r="K6" s="99"/>
      <c r="L6" s="99"/>
      <c r="M6" s="99"/>
      <c r="N6" s="99"/>
      <c r="O6" s="99"/>
      <c r="P6" s="99"/>
      <c r="Q6" s="156"/>
      <c r="R6" s="334"/>
      <c r="S6" s="122" t="str">
        <f>IF(R.9StaffCount=0,"$0",IF(R.9LowDollars=0,"$0-"&amp;TEXT(R.9HighDollars,"#,###"),TEXT(R.9LowDollars,"$#,###")&amp;"-"&amp;TEXT(R.9HighDollars,"#,###")))</f>
        <v>$232-1,856</v>
      </c>
      <c r="T6" s="355">
        <f>T4*E5</f>
        <v>232</v>
      </c>
      <c r="U6" s="355">
        <f>U4*E5</f>
        <v>1856</v>
      </c>
      <c r="V6" s="120"/>
      <c r="W6" s="64"/>
      <c r="X6" s="64"/>
      <c r="Y6" s="64"/>
      <c r="Z6" s="64"/>
      <c r="AA6" s="64"/>
      <c r="AB6" s="64"/>
      <c r="AC6" s="64"/>
      <c r="AD6" s="66"/>
      <c r="AE6" s="66"/>
      <c r="AF6" s="66"/>
    </row>
    <row r="7" spans="1:33" s="6" customFormat="1" ht="105" customHeight="1">
      <c r="A7" s="316"/>
      <c r="B7" s="334"/>
      <c r="C7" s="155"/>
      <c r="D7" s="730" t="s">
        <v>246</v>
      </c>
      <c r="E7" s="731"/>
      <c r="F7" s="731"/>
      <c r="G7" s="731"/>
      <c r="H7" s="731"/>
      <c r="I7" s="731"/>
      <c r="J7" s="731"/>
      <c r="K7" s="731"/>
      <c r="L7" s="731"/>
      <c r="M7" s="731"/>
      <c r="N7" s="731"/>
      <c r="O7" s="731"/>
      <c r="P7" s="732"/>
      <c r="Q7" s="156"/>
      <c r="R7" s="334"/>
      <c r="S7" s="496">
        <f>AVERAGEIF(S14:S56,"&gt;0")</f>
        <v>1</v>
      </c>
      <c r="T7" s="493"/>
      <c r="U7" s="493"/>
      <c r="V7" s="120"/>
      <c r="W7" s="436"/>
      <c r="X7" s="436"/>
      <c r="Y7" s="436"/>
      <c r="Z7" s="436"/>
      <c r="AA7" s="436"/>
      <c r="AB7" s="436"/>
      <c r="AC7" s="436"/>
      <c r="AD7" s="66"/>
      <c r="AE7" s="66"/>
      <c r="AF7" s="66"/>
    </row>
    <row r="8" spans="1:33" s="6" customFormat="1" ht="20.25" customHeight="1">
      <c r="A8" s="316"/>
      <c r="B8" s="334"/>
      <c r="C8" s="155"/>
      <c r="D8" s="748" t="s">
        <v>525</v>
      </c>
      <c r="E8" s="748"/>
      <c r="F8" s="748"/>
      <c r="G8" s="748"/>
      <c r="H8" s="748"/>
      <c r="I8" s="748"/>
      <c r="J8" s="748"/>
      <c r="K8" s="748"/>
      <c r="L8" s="748"/>
      <c r="M8" s="748"/>
      <c r="N8" s="748"/>
      <c r="O8" s="748"/>
      <c r="P8" s="748"/>
      <c r="Q8" s="156"/>
      <c r="R8" s="334"/>
      <c r="T8" s="493"/>
      <c r="U8" s="493"/>
      <c r="V8" s="120"/>
      <c r="W8" s="436"/>
      <c r="X8" s="436"/>
      <c r="Y8" s="436"/>
      <c r="Z8" s="436"/>
      <c r="AA8" s="436"/>
      <c r="AB8" s="436"/>
      <c r="AC8" s="436"/>
      <c r="AD8" s="66"/>
      <c r="AE8" s="66"/>
      <c r="AF8" s="66"/>
    </row>
    <row r="9" spans="1:33" s="28" customFormat="1" ht="15.75" customHeight="1">
      <c r="A9" s="345"/>
      <c r="B9" s="440"/>
      <c r="C9" s="138"/>
      <c r="D9" s="745" t="s">
        <v>469</v>
      </c>
      <c r="E9" s="746"/>
      <c r="F9" s="746"/>
      <c r="G9" s="746"/>
      <c r="H9" s="746"/>
      <c r="I9" s="746"/>
      <c r="J9" s="746"/>
      <c r="K9" s="746"/>
      <c r="L9" s="746"/>
      <c r="M9" s="746"/>
      <c r="N9" s="746"/>
      <c r="O9" s="746"/>
      <c r="P9" s="747"/>
      <c r="Q9" s="139"/>
      <c r="R9" s="440"/>
      <c r="S9" s="463"/>
      <c r="T9" s="463"/>
      <c r="U9" s="441"/>
      <c r="V9" s="438"/>
      <c r="W9" s="438"/>
      <c r="X9" s="438"/>
      <c r="Y9" s="438"/>
      <c r="Z9" s="438"/>
      <c r="AA9" s="438"/>
      <c r="AB9" s="438"/>
      <c r="AC9" s="438"/>
      <c r="AD9" s="130"/>
      <c r="AE9" s="130"/>
      <c r="AF9" s="130"/>
      <c r="AG9" s="130"/>
    </row>
    <row r="10" spans="1:33" s="69" customFormat="1" ht="8.25" customHeight="1">
      <c r="A10" s="320"/>
      <c r="B10" s="334"/>
      <c r="C10" s="404"/>
      <c r="D10" s="405"/>
      <c r="E10" s="405"/>
      <c r="F10" s="405"/>
      <c r="G10" s="405"/>
      <c r="H10" s="405"/>
      <c r="I10" s="405"/>
      <c r="J10" s="405"/>
      <c r="K10" s="405"/>
      <c r="L10" s="405"/>
      <c r="M10" s="405"/>
      <c r="N10" s="405"/>
      <c r="O10" s="405"/>
      <c r="P10" s="405"/>
      <c r="Q10" s="406"/>
      <c r="R10" s="334"/>
      <c r="S10" s="712" t="s">
        <v>0</v>
      </c>
      <c r="T10" s="712"/>
      <c r="U10" s="712"/>
      <c r="V10" s="300"/>
      <c r="W10" s="126"/>
      <c r="X10" s="126"/>
      <c r="Y10" s="126"/>
      <c r="Z10" s="126"/>
      <c r="AA10" s="126"/>
      <c r="AB10" s="126"/>
      <c r="AC10" s="126"/>
      <c r="AD10" s="125"/>
      <c r="AE10" s="125"/>
      <c r="AF10" s="125"/>
    </row>
    <row r="11" spans="1:33" s="33" customFormat="1" ht="30" customHeight="1">
      <c r="A11" s="351" t="s">
        <v>107</v>
      </c>
      <c r="B11" s="334"/>
      <c r="C11" s="480" t="s">
        <v>0</v>
      </c>
      <c r="D11" s="484" t="s">
        <v>143</v>
      </c>
      <c r="E11" s="94"/>
      <c r="F11" s="94"/>
      <c r="G11" s="94"/>
      <c r="H11" s="94"/>
      <c r="I11" s="94"/>
      <c r="J11" s="94"/>
      <c r="K11" s="94"/>
      <c r="L11" s="94"/>
      <c r="M11" s="94"/>
      <c r="N11" s="94"/>
      <c r="O11" s="94"/>
      <c r="P11" s="94"/>
      <c r="Q11" s="137"/>
      <c r="R11" s="334"/>
      <c r="S11" s="128"/>
      <c r="T11" s="127"/>
      <c r="U11" s="127"/>
      <c r="V11" s="300" t="s">
        <v>103</v>
      </c>
      <c r="W11" s="129"/>
      <c r="X11" s="129"/>
      <c r="Y11" s="129"/>
      <c r="Z11" s="129"/>
      <c r="AA11" s="129"/>
      <c r="AB11" s="129"/>
      <c r="AC11" s="129"/>
      <c r="AD11" s="127"/>
      <c r="AE11" s="127"/>
      <c r="AF11" s="127"/>
    </row>
    <row r="12" spans="1:33" s="33" customFormat="1" ht="14.25" customHeight="1">
      <c r="A12" s="311"/>
      <c r="B12" s="334"/>
      <c r="C12" s="232"/>
      <c r="D12" s="443" t="s">
        <v>53</v>
      </c>
      <c r="E12" s="94"/>
      <c r="F12" s="94"/>
      <c r="G12" s="94"/>
      <c r="H12" s="94"/>
      <c r="I12" s="94"/>
      <c r="J12" s="94"/>
      <c r="K12" s="94"/>
      <c r="L12" s="94"/>
      <c r="M12" s="94"/>
      <c r="N12" s="94"/>
      <c r="O12" s="94"/>
      <c r="P12" s="94"/>
      <c r="Q12" s="137"/>
      <c r="R12" s="334"/>
      <c r="S12" s="242"/>
      <c r="T12" s="127"/>
      <c r="U12" s="127"/>
      <c r="V12" s="300"/>
      <c r="W12" s="230"/>
      <c r="X12" s="230"/>
      <c r="Y12" s="230"/>
      <c r="Z12" s="230"/>
      <c r="AA12" s="230"/>
      <c r="AB12" s="230"/>
      <c r="AC12" s="230"/>
      <c r="AD12" s="127"/>
      <c r="AE12" s="127"/>
      <c r="AF12" s="127"/>
    </row>
    <row r="13" spans="1:33" s="28" customFormat="1" ht="15.75" customHeight="1">
      <c r="A13" s="320"/>
      <c r="B13" s="334"/>
      <c r="C13" s="138"/>
      <c r="D13" s="724" t="s">
        <v>155</v>
      </c>
      <c r="E13" s="725"/>
      <c r="F13" s="725"/>
      <c r="G13" s="725"/>
      <c r="H13" s="725"/>
      <c r="I13" s="725"/>
      <c r="J13" s="725"/>
      <c r="K13" s="725"/>
      <c r="L13" s="725"/>
      <c r="M13" s="725"/>
      <c r="N13" s="725"/>
      <c r="O13" s="725"/>
      <c r="P13" s="726"/>
      <c r="Q13" s="139"/>
      <c r="R13" s="334"/>
      <c r="S13" s="131"/>
      <c r="T13" s="130"/>
      <c r="U13" s="130"/>
      <c r="V13" s="64"/>
      <c r="W13" s="64"/>
      <c r="X13" s="64"/>
      <c r="Y13" s="64"/>
      <c r="Z13" s="64"/>
      <c r="AA13" s="64"/>
      <c r="AB13" s="64"/>
      <c r="AC13" s="64"/>
      <c r="AD13" s="130"/>
      <c r="AE13" s="130"/>
      <c r="AF13" s="130"/>
    </row>
    <row r="14" spans="1:33" s="33" customFormat="1" ht="15.75" customHeight="1">
      <c r="A14" s="319"/>
      <c r="B14" s="334"/>
      <c r="C14" s="233"/>
      <c r="D14" s="497" t="s">
        <v>60</v>
      </c>
      <c r="E14" s="393" t="s">
        <v>18</v>
      </c>
      <c r="F14" s="733" t="s">
        <v>19</v>
      </c>
      <c r="G14" s="733"/>
      <c r="H14" s="733"/>
      <c r="I14" s="733"/>
      <c r="J14" s="733"/>
      <c r="K14" s="733"/>
      <c r="L14" s="733"/>
      <c r="M14" s="733"/>
      <c r="N14" s="733"/>
      <c r="O14" s="733"/>
      <c r="P14" s="393" t="s">
        <v>20</v>
      </c>
      <c r="Q14" s="137"/>
      <c r="R14" s="334"/>
      <c r="S14" s="228"/>
      <c r="T14" s="229"/>
      <c r="U14" s="229"/>
      <c r="V14" s="230"/>
      <c r="W14" s="230"/>
      <c r="X14" s="230"/>
      <c r="Y14" s="230"/>
      <c r="Z14" s="230"/>
      <c r="AA14" s="230"/>
      <c r="AB14" s="230"/>
      <c r="AC14" s="230"/>
      <c r="AD14" s="127"/>
      <c r="AE14" s="127"/>
      <c r="AF14" s="127"/>
    </row>
    <row r="15" spans="1:33" s="28" customFormat="1" ht="15.75" customHeight="1">
      <c r="A15" s="320"/>
      <c r="B15" s="334"/>
      <c r="C15" s="138"/>
      <c r="D15" s="464" t="s">
        <v>154</v>
      </c>
      <c r="E15" s="30" t="s">
        <v>231</v>
      </c>
      <c r="F15" s="71">
        <v>1</v>
      </c>
      <c r="G15" s="72">
        <v>2</v>
      </c>
      <c r="H15" s="73">
        <v>3</v>
      </c>
      <c r="I15" s="74">
        <v>4</v>
      </c>
      <c r="J15" s="75">
        <v>5</v>
      </c>
      <c r="K15" s="76">
        <v>6</v>
      </c>
      <c r="L15" s="77">
        <v>7</v>
      </c>
      <c r="M15" s="78">
        <v>8</v>
      </c>
      <c r="N15" s="79">
        <v>9</v>
      </c>
      <c r="O15" s="80">
        <v>10</v>
      </c>
      <c r="P15" s="32" t="s">
        <v>15</v>
      </c>
      <c r="Q15" s="139"/>
      <c r="R15" s="334"/>
      <c r="S15" s="133">
        <f>VLOOKUP($E15,R.VL_DEQResourcesInvolved,2,FALSE)</f>
        <v>1</v>
      </c>
      <c r="T15" s="121">
        <f>VLOOKUP($E15,R.VL_DEQResourcesInvolved,3,FALSE)</f>
        <v>1</v>
      </c>
      <c r="U15" s="121">
        <f>IF(S15=10,T15,VLOOKUP($E15,R.VL_DEQResourcesInvolved,4,FALSE))</f>
        <v>8</v>
      </c>
      <c r="V15" s="575" t="s">
        <v>554</v>
      </c>
      <c r="W15" s="64"/>
      <c r="X15" s="64"/>
      <c r="Y15" s="64"/>
      <c r="Z15" s="64"/>
      <c r="AA15" s="64"/>
      <c r="AB15" s="64"/>
      <c r="AC15" s="64"/>
      <c r="AD15" s="130"/>
      <c r="AE15" s="130"/>
      <c r="AF15" s="130"/>
    </row>
    <row r="16" spans="1:33" s="28" customFormat="1" ht="15.75" customHeight="1">
      <c r="A16" s="320"/>
      <c r="B16" s="334"/>
      <c r="C16" s="138"/>
      <c r="D16" s="464" t="s">
        <v>159</v>
      </c>
      <c r="E16" s="30" t="s">
        <v>231</v>
      </c>
      <c r="F16" s="71">
        <v>1</v>
      </c>
      <c r="G16" s="72">
        <v>2</v>
      </c>
      <c r="H16" s="73">
        <v>3</v>
      </c>
      <c r="I16" s="74">
        <v>4</v>
      </c>
      <c r="J16" s="75">
        <v>5</v>
      </c>
      <c r="K16" s="76">
        <v>6</v>
      </c>
      <c r="L16" s="77">
        <v>7</v>
      </c>
      <c r="M16" s="78">
        <v>8</v>
      </c>
      <c r="N16" s="79">
        <v>9</v>
      </c>
      <c r="O16" s="80">
        <v>10</v>
      </c>
      <c r="P16" s="32" t="s">
        <v>16</v>
      </c>
      <c r="Q16" s="139"/>
      <c r="R16" s="334"/>
      <c r="S16" s="133">
        <f>VLOOKUP($E16,R.VL_DEQResourcesInvolved,2,FALSE)</f>
        <v>1</v>
      </c>
      <c r="T16" s="121">
        <f>VLOOKUP($E16,R.VL_DEQResourcesInvolved,3,FALSE)</f>
        <v>1</v>
      </c>
      <c r="U16" s="121">
        <f>IF(S16=10,T16,VLOOKUP($E16,R.VL_DEQResourcesInvolved,4,FALSE))</f>
        <v>8</v>
      </c>
      <c r="V16" s="575" t="s">
        <v>554</v>
      </c>
      <c r="W16" s="64"/>
      <c r="X16" s="64"/>
      <c r="Y16" s="64"/>
      <c r="Z16" s="64"/>
      <c r="AA16" s="64"/>
      <c r="AB16" s="64"/>
      <c r="AC16" s="64"/>
      <c r="AD16" s="130"/>
      <c r="AE16" s="130"/>
      <c r="AF16" s="130"/>
    </row>
    <row r="17" spans="1:32" s="28" customFormat="1" ht="20.25" hidden="1" customHeight="1" outlineLevel="1">
      <c r="A17" s="320"/>
      <c r="B17" s="334"/>
      <c r="C17" s="138"/>
      <c r="D17" s="36" t="s">
        <v>0</v>
      </c>
      <c r="E17" s="30" t="s">
        <v>229</v>
      </c>
      <c r="F17" s="71">
        <v>1</v>
      </c>
      <c r="G17" s="72">
        <v>2</v>
      </c>
      <c r="H17" s="73">
        <v>3</v>
      </c>
      <c r="I17" s="74">
        <v>4</v>
      </c>
      <c r="J17" s="75">
        <v>5</v>
      </c>
      <c r="K17" s="76">
        <v>6</v>
      </c>
      <c r="L17" s="77">
        <v>7</v>
      </c>
      <c r="M17" s="78">
        <v>8</v>
      </c>
      <c r="N17" s="79">
        <v>9</v>
      </c>
      <c r="O17" s="80">
        <v>10</v>
      </c>
      <c r="P17" s="32"/>
      <c r="Q17" s="139"/>
      <c r="R17" s="334"/>
      <c r="S17" s="133">
        <f>VLOOKUP($E17,R.VL_DEQResourcesInvolved,2,FALSE)</f>
        <v>0</v>
      </c>
      <c r="T17" s="121">
        <f>VLOOKUP($E17,R.VL_DEQResourcesInvolved,3,FALSE)</f>
        <v>0</v>
      </c>
      <c r="U17" s="121">
        <f>IF(S17=10,T17,VLOOKUP($E17,R.VL_DEQResourcesInvolved,4,FALSE))</f>
        <v>0</v>
      </c>
      <c r="V17" s="64"/>
      <c r="W17" s="64"/>
      <c r="X17" s="64"/>
      <c r="Y17" s="64"/>
      <c r="Z17" s="64"/>
      <c r="AA17" s="64"/>
      <c r="AB17" s="64"/>
      <c r="AC17" s="64"/>
      <c r="AD17" s="130"/>
      <c r="AE17" s="130"/>
      <c r="AF17" s="130"/>
    </row>
    <row r="18" spans="1:32" s="28" customFormat="1" ht="20.25" hidden="1" customHeight="1" outlineLevel="1">
      <c r="A18" s="320"/>
      <c r="B18" s="334"/>
      <c r="C18" s="138"/>
      <c r="D18" s="36" t="s">
        <v>0</v>
      </c>
      <c r="E18" s="30" t="s">
        <v>229</v>
      </c>
      <c r="F18" s="71">
        <v>1</v>
      </c>
      <c r="G18" s="72">
        <v>2</v>
      </c>
      <c r="H18" s="73">
        <v>3</v>
      </c>
      <c r="I18" s="74">
        <v>4</v>
      </c>
      <c r="J18" s="75">
        <v>5</v>
      </c>
      <c r="K18" s="76">
        <v>6</v>
      </c>
      <c r="L18" s="77">
        <v>7</v>
      </c>
      <c r="M18" s="78">
        <v>8</v>
      </c>
      <c r="N18" s="79">
        <v>9</v>
      </c>
      <c r="O18" s="80">
        <v>10</v>
      </c>
      <c r="P18" s="32" t="s">
        <v>0</v>
      </c>
      <c r="Q18" s="139"/>
      <c r="R18" s="334"/>
      <c r="S18" s="133">
        <f>VLOOKUP($E18,R.VL_DEQResourcesInvolved,2,FALSE)</f>
        <v>0</v>
      </c>
      <c r="T18" s="121">
        <f>VLOOKUP($E18,R.VL_DEQResourcesInvolved,3,FALSE)</f>
        <v>0</v>
      </c>
      <c r="U18" s="121">
        <f>IF(S18=10,T18,VLOOKUP($E18,R.VL_DEQResourcesInvolved,4,FALSE))</f>
        <v>0</v>
      </c>
      <c r="V18" s="64"/>
      <c r="W18" s="64"/>
      <c r="X18" s="64"/>
      <c r="Y18" s="64"/>
      <c r="Z18" s="64"/>
      <c r="AA18" s="64"/>
      <c r="AB18" s="64"/>
      <c r="AC18" s="64"/>
      <c r="AD18" s="130"/>
      <c r="AE18" s="130"/>
      <c r="AF18" s="130"/>
    </row>
    <row r="19" spans="1:32" s="28" customFormat="1" ht="15.75" customHeight="1" collapsed="1">
      <c r="A19" s="320"/>
      <c r="B19" s="334"/>
      <c r="C19" s="245"/>
      <c r="D19" s="442" t="s">
        <v>52</v>
      </c>
      <c r="E19" s="31"/>
      <c r="F19" s="31"/>
      <c r="G19" s="31"/>
      <c r="H19" s="31"/>
      <c r="I19" s="31"/>
      <c r="J19" s="31"/>
      <c r="K19" s="31"/>
      <c r="L19" s="31"/>
      <c r="M19" s="31"/>
      <c r="N19" s="31"/>
      <c r="O19" s="31"/>
      <c r="P19" s="31"/>
      <c r="Q19" s="143"/>
      <c r="R19" s="334"/>
      <c r="S19" s="228"/>
      <c r="T19" s="229"/>
      <c r="U19" s="229"/>
      <c r="V19" s="236"/>
      <c r="W19" s="236"/>
      <c r="X19" s="236"/>
      <c r="Y19" s="236"/>
      <c r="Z19" s="236"/>
      <c r="AA19" s="236"/>
      <c r="AB19" s="236"/>
      <c r="AC19" s="236"/>
      <c r="AD19" s="130"/>
      <c r="AE19" s="130"/>
      <c r="AF19" s="130"/>
    </row>
    <row r="20" spans="1:32" s="28" customFormat="1" ht="20.25" customHeight="1">
      <c r="A20" s="320"/>
      <c r="B20" s="334"/>
      <c r="C20" s="138"/>
      <c r="D20" s="734"/>
      <c r="E20" s="735"/>
      <c r="F20" s="735"/>
      <c r="G20" s="735"/>
      <c r="H20" s="735"/>
      <c r="I20" s="735"/>
      <c r="J20" s="735"/>
      <c r="K20" s="735"/>
      <c r="L20" s="735"/>
      <c r="M20" s="735"/>
      <c r="N20" s="735"/>
      <c r="O20" s="735"/>
      <c r="P20" s="736"/>
      <c r="Q20" s="139"/>
      <c r="R20" s="334"/>
      <c r="S20" s="132" t="s">
        <v>0</v>
      </c>
      <c r="T20" s="131"/>
      <c r="U20" s="131"/>
      <c r="V20" s="64"/>
      <c r="W20" s="64"/>
      <c r="X20" s="64"/>
      <c r="Y20" s="64"/>
      <c r="Z20" s="64"/>
      <c r="AA20" s="64"/>
      <c r="AB20" s="64"/>
      <c r="AC20" s="64"/>
      <c r="AD20" s="130"/>
      <c r="AE20" s="130"/>
      <c r="AF20" s="130"/>
    </row>
    <row r="21" spans="1:32" s="33" customFormat="1" ht="15.75" customHeight="1">
      <c r="A21" s="319"/>
      <c r="B21" s="334"/>
      <c r="C21" s="232"/>
      <c r="D21" s="442" t="s">
        <v>60</v>
      </c>
      <c r="E21" s="292" t="s">
        <v>18</v>
      </c>
      <c r="F21" s="292" t="s">
        <v>19</v>
      </c>
      <c r="G21" s="292"/>
      <c r="H21" s="292"/>
      <c r="I21" s="292"/>
      <c r="J21" s="292"/>
      <c r="K21" s="292"/>
      <c r="L21" s="292"/>
      <c r="M21" s="292"/>
      <c r="N21" s="292"/>
      <c r="O21" s="292"/>
      <c r="P21" s="292" t="s">
        <v>20</v>
      </c>
      <c r="Q21" s="137"/>
      <c r="R21" s="334"/>
      <c r="S21" s="228"/>
      <c r="T21" s="229"/>
      <c r="U21" s="229"/>
      <c r="V21" s="230"/>
      <c r="W21" s="230"/>
      <c r="X21" s="230"/>
      <c r="Y21" s="230"/>
      <c r="Z21" s="230"/>
      <c r="AA21" s="230"/>
      <c r="AB21" s="230"/>
      <c r="AC21" s="230"/>
      <c r="AD21" s="127"/>
      <c r="AE21" s="127"/>
      <c r="AF21" s="127"/>
    </row>
    <row r="22" spans="1:32" s="28" customFormat="1" ht="20.25" customHeight="1">
      <c r="A22" s="320"/>
      <c r="B22" s="334"/>
      <c r="C22" s="138"/>
      <c r="D22" s="36" t="s">
        <v>0</v>
      </c>
      <c r="E22" s="30" t="s">
        <v>229</v>
      </c>
      <c r="F22" s="71">
        <v>1</v>
      </c>
      <c r="G22" s="72">
        <v>2</v>
      </c>
      <c r="H22" s="73">
        <v>3</v>
      </c>
      <c r="I22" s="74">
        <v>4</v>
      </c>
      <c r="J22" s="75">
        <v>5</v>
      </c>
      <c r="K22" s="76">
        <v>6</v>
      </c>
      <c r="L22" s="77">
        <v>7</v>
      </c>
      <c r="M22" s="78">
        <v>8</v>
      </c>
      <c r="N22" s="79">
        <v>9</v>
      </c>
      <c r="O22" s="80">
        <v>10</v>
      </c>
      <c r="P22" s="32" t="s">
        <v>0</v>
      </c>
      <c r="Q22" s="139"/>
      <c r="R22" s="334"/>
      <c r="S22" s="133">
        <f>VLOOKUP($E22,R.VL_DEQResourcesInvolved,2,FALSE)</f>
        <v>0</v>
      </c>
      <c r="T22" s="121">
        <f>VLOOKUP($E22,R.VL_DEQResourcesInvolved,3,FALSE)</f>
        <v>0</v>
      </c>
      <c r="U22" s="121">
        <f>IF(S22=10,T22,VLOOKUP($E22,R.VL_DEQResourcesInvolved,4,FALSE))</f>
        <v>0</v>
      </c>
      <c r="V22" s="575" t="s">
        <v>554</v>
      </c>
      <c r="W22" s="64"/>
      <c r="X22" s="64"/>
      <c r="Y22" s="64"/>
      <c r="Z22" s="64"/>
      <c r="AA22" s="64"/>
      <c r="AB22" s="64"/>
      <c r="AC22" s="64"/>
      <c r="AD22" s="130"/>
      <c r="AE22" s="130"/>
      <c r="AF22" s="130"/>
    </row>
    <row r="23" spans="1:32" s="28" customFormat="1" ht="20.25" hidden="1" customHeight="1" outlineLevel="1">
      <c r="A23" s="320"/>
      <c r="B23" s="334"/>
      <c r="C23" s="138"/>
      <c r="D23" s="36"/>
      <c r="E23" s="30" t="s">
        <v>229</v>
      </c>
      <c r="F23" s="71">
        <v>1</v>
      </c>
      <c r="G23" s="72">
        <v>2</v>
      </c>
      <c r="H23" s="73">
        <v>3</v>
      </c>
      <c r="I23" s="74">
        <v>4</v>
      </c>
      <c r="J23" s="75">
        <v>5</v>
      </c>
      <c r="K23" s="76">
        <v>6</v>
      </c>
      <c r="L23" s="77">
        <v>7</v>
      </c>
      <c r="M23" s="78">
        <v>8</v>
      </c>
      <c r="N23" s="79">
        <v>9</v>
      </c>
      <c r="O23" s="80">
        <v>10</v>
      </c>
      <c r="P23" s="32"/>
      <c r="Q23" s="139"/>
      <c r="R23" s="334"/>
      <c r="S23" s="133">
        <f>VLOOKUP($E23,R.VL_DEQResourcesInvolved,2,FALSE)</f>
        <v>0</v>
      </c>
      <c r="T23" s="121">
        <f>VLOOKUP($E23,R.VL_DEQResourcesInvolved,3,FALSE)</f>
        <v>0</v>
      </c>
      <c r="U23" s="121">
        <f>IF(S23=10,T23,VLOOKUP($E23,R.VL_DEQResourcesInvolved,4,FALSE))</f>
        <v>0</v>
      </c>
      <c r="V23" s="64"/>
      <c r="W23" s="64"/>
      <c r="X23" s="64"/>
      <c r="Y23" s="64"/>
      <c r="Z23" s="64"/>
      <c r="AA23" s="64"/>
      <c r="AB23" s="64"/>
      <c r="AC23" s="64"/>
      <c r="AD23" s="130"/>
      <c r="AE23" s="130"/>
      <c r="AF23" s="130"/>
    </row>
    <row r="24" spans="1:32" s="28" customFormat="1" ht="20.25" hidden="1" customHeight="1" outlineLevel="1">
      <c r="A24" s="320"/>
      <c r="B24" s="334"/>
      <c r="C24" s="138"/>
      <c r="D24" s="36"/>
      <c r="E24" s="30" t="s">
        <v>229</v>
      </c>
      <c r="F24" s="71">
        <v>1</v>
      </c>
      <c r="G24" s="72">
        <v>2</v>
      </c>
      <c r="H24" s="73">
        <v>3</v>
      </c>
      <c r="I24" s="74">
        <v>4</v>
      </c>
      <c r="J24" s="75">
        <v>5</v>
      </c>
      <c r="K24" s="76">
        <v>6</v>
      </c>
      <c r="L24" s="77">
        <v>7</v>
      </c>
      <c r="M24" s="78">
        <v>8</v>
      </c>
      <c r="N24" s="79">
        <v>9</v>
      </c>
      <c r="O24" s="80">
        <v>10</v>
      </c>
      <c r="P24" s="32"/>
      <c r="Q24" s="139"/>
      <c r="R24" s="334"/>
      <c r="S24" s="133">
        <f>VLOOKUP($E24,R.VL_DEQResourcesInvolved,2,FALSE)</f>
        <v>0</v>
      </c>
      <c r="T24" s="121">
        <f>VLOOKUP($E24,R.VL_DEQResourcesInvolved,3,FALSE)</f>
        <v>0</v>
      </c>
      <c r="U24" s="121">
        <f>IF(S24=10,T24,VLOOKUP($E24,R.VL_DEQResourcesInvolved,4,FALSE))</f>
        <v>0</v>
      </c>
      <c r="V24" s="64"/>
      <c r="W24" s="64"/>
      <c r="X24" s="64"/>
      <c r="Y24" s="64"/>
      <c r="Z24" s="64"/>
      <c r="AA24" s="64"/>
      <c r="AB24" s="64"/>
      <c r="AC24" s="64"/>
      <c r="AD24" s="130"/>
      <c r="AE24" s="130"/>
      <c r="AF24" s="130"/>
    </row>
    <row r="25" spans="1:32" s="28" customFormat="1" ht="20.25" hidden="1" customHeight="1" outlineLevel="1">
      <c r="A25" s="320"/>
      <c r="B25" s="334"/>
      <c r="C25" s="138"/>
      <c r="D25" s="36" t="s">
        <v>0</v>
      </c>
      <c r="E25" s="30" t="s">
        <v>229</v>
      </c>
      <c r="F25" s="71">
        <v>1</v>
      </c>
      <c r="G25" s="72">
        <v>2</v>
      </c>
      <c r="H25" s="73">
        <v>3</v>
      </c>
      <c r="I25" s="74">
        <v>4</v>
      </c>
      <c r="J25" s="75">
        <v>5</v>
      </c>
      <c r="K25" s="76">
        <v>6</v>
      </c>
      <c r="L25" s="77">
        <v>7</v>
      </c>
      <c r="M25" s="78">
        <v>8</v>
      </c>
      <c r="N25" s="79">
        <v>9</v>
      </c>
      <c r="O25" s="80">
        <v>10</v>
      </c>
      <c r="P25" s="32" t="s">
        <v>0</v>
      </c>
      <c r="Q25" s="139"/>
      <c r="R25" s="334"/>
      <c r="S25" s="133">
        <f>VLOOKUP($E25,R.VL_DEQResourcesInvolved,2,FALSE)</f>
        <v>0</v>
      </c>
      <c r="T25" s="121">
        <f>VLOOKUP($E25,R.VL_DEQResourcesInvolved,3,FALSE)</f>
        <v>0</v>
      </c>
      <c r="U25" s="121">
        <f>IF(S25=10,T25,VLOOKUP($E25,R.VL_DEQResourcesInvolved,4,FALSE))</f>
        <v>0</v>
      </c>
      <c r="V25" s="64"/>
      <c r="W25" s="64"/>
      <c r="X25" s="64"/>
      <c r="Y25" s="64"/>
      <c r="Z25" s="64"/>
      <c r="AA25" s="64"/>
      <c r="AB25" s="64"/>
      <c r="AC25" s="64"/>
      <c r="AD25" s="130"/>
      <c r="AE25" s="130"/>
      <c r="AF25" s="130"/>
    </row>
    <row r="26" spans="1:32" s="28" customFormat="1" ht="14.25" customHeight="1" collapsed="1">
      <c r="A26" s="320"/>
      <c r="B26" s="334"/>
      <c r="C26" s="376"/>
      <c r="D26" s="481"/>
      <c r="E26" s="739"/>
      <c r="F26" s="739"/>
      <c r="G26" s="739"/>
      <c r="H26" s="739"/>
      <c r="I26" s="739"/>
      <c r="J26" s="739"/>
      <c r="K26" s="739"/>
      <c r="L26" s="739"/>
      <c r="M26" s="739"/>
      <c r="N26" s="739"/>
      <c r="O26" s="739"/>
      <c r="P26" s="739"/>
      <c r="Q26" s="379"/>
      <c r="R26" s="334"/>
      <c r="S26" s="132"/>
      <c r="T26" s="131"/>
      <c r="U26" s="131"/>
      <c r="V26" s="64"/>
      <c r="W26" s="64"/>
      <c r="X26" s="64"/>
      <c r="Y26" s="64"/>
      <c r="Z26" s="64"/>
      <c r="AA26" s="64"/>
      <c r="AB26" s="64"/>
      <c r="AC26" s="64"/>
      <c r="AD26" s="130"/>
      <c r="AE26" s="130"/>
      <c r="AF26" s="130"/>
    </row>
    <row r="27" spans="1:32" s="33" customFormat="1" ht="30" customHeight="1">
      <c r="A27" s="350" t="s">
        <v>107</v>
      </c>
      <c r="B27" s="334"/>
      <c r="C27" s="136"/>
      <c r="D27" s="308" t="s">
        <v>105</v>
      </c>
      <c r="E27" s="297"/>
      <c r="F27" s="94"/>
      <c r="G27" s="94"/>
      <c r="H27" s="94"/>
      <c r="I27" s="94"/>
      <c r="J27" s="94"/>
      <c r="K27" s="94"/>
      <c r="L27" s="94"/>
      <c r="M27" s="94"/>
      <c r="N27" s="94"/>
      <c r="O27" s="94"/>
      <c r="P27" s="94"/>
      <c r="Q27" s="137"/>
      <c r="R27" s="334"/>
      <c r="S27" s="134"/>
      <c r="T27" s="131"/>
      <c r="U27" s="131"/>
      <c r="V27" s="129"/>
      <c r="W27" s="129"/>
      <c r="X27" s="129"/>
      <c r="Y27" s="129"/>
      <c r="Z27" s="129"/>
      <c r="AA27" s="129"/>
      <c r="AB27" s="129"/>
      <c r="AC27" s="129"/>
      <c r="AD27" s="127"/>
      <c r="AE27" s="127"/>
      <c r="AF27" s="127"/>
    </row>
    <row r="28" spans="1:32" s="33" customFormat="1" ht="14.25" customHeight="1">
      <c r="A28" s="319"/>
      <c r="B28" s="334"/>
      <c r="C28" s="136"/>
      <c r="D28" s="443" t="s">
        <v>53</v>
      </c>
      <c r="E28" s="94"/>
      <c r="F28" s="94"/>
      <c r="G28" s="94"/>
      <c r="H28" s="94"/>
      <c r="I28" s="94"/>
      <c r="J28" s="94"/>
      <c r="K28" s="94"/>
      <c r="L28" s="94"/>
      <c r="M28" s="94"/>
      <c r="N28" s="94"/>
      <c r="O28" s="94"/>
      <c r="P28" s="94"/>
      <c r="Q28" s="137"/>
      <c r="R28" s="334"/>
      <c r="S28" s="134"/>
      <c r="T28" s="131"/>
      <c r="U28" s="131"/>
      <c r="V28" s="129"/>
      <c r="W28" s="129"/>
      <c r="X28" s="129"/>
      <c r="Y28" s="129"/>
      <c r="Z28" s="129"/>
      <c r="AA28" s="129"/>
      <c r="AB28" s="129"/>
      <c r="AC28" s="129"/>
      <c r="AD28" s="127"/>
      <c r="AE28" s="127"/>
      <c r="AF28" s="127"/>
    </row>
    <row r="29" spans="1:32" s="28" customFormat="1" ht="15.75" customHeight="1">
      <c r="A29" s="320"/>
      <c r="B29" s="334"/>
      <c r="C29" s="138"/>
      <c r="D29" s="719"/>
      <c r="E29" s="720"/>
      <c r="F29" s="720"/>
      <c r="G29" s="720"/>
      <c r="H29" s="720"/>
      <c r="I29" s="720"/>
      <c r="J29" s="720"/>
      <c r="K29" s="720"/>
      <c r="L29" s="720"/>
      <c r="M29" s="720"/>
      <c r="N29" s="720"/>
      <c r="O29" s="720"/>
      <c r="P29" s="721"/>
      <c r="Q29" s="139"/>
      <c r="R29" s="334"/>
      <c r="S29" s="132" t="s">
        <v>0</v>
      </c>
      <c r="T29" s="131"/>
      <c r="U29" s="131"/>
      <c r="V29" s="64"/>
      <c r="W29" s="64"/>
      <c r="X29" s="64"/>
      <c r="Y29" s="64"/>
      <c r="Z29" s="64"/>
      <c r="AA29" s="64"/>
      <c r="AB29" s="64"/>
      <c r="AC29" s="64"/>
      <c r="AD29" s="130"/>
      <c r="AE29" s="130"/>
      <c r="AF29" s="130"/>
    </row>
    <row r="30" spans="1:32" s="33" customFormat="1" ht="14.25" customHeight="1">
      <c r="A30" s="319"/>
      <c r="B30" s="334"/>
      <c r="C30" s="232"/>
      <c r="D30" s="442" t="s">
        <v>60</v>
      </c>
      <c r="E30" s="159" t="s">
        <v>18</v>
      </c>
      <c r="F30" s="159" t="s">
        <v>19</v>
      </c>
      <c r="G30" s="159"/>
      <c r="H30" s="159"/>
      <c r="I30" s="159"/>
      <c r="J30" s="159"/>
      <c r="K30" s="159"/>
      <c r="L30" s="159"/>
      <c r="M30" s="159"/>
      <c r="N30" s="159"/>
      <c r="O30" s="159"/>
      <c r="P30" s="159" t="s">
        <v>20</v>
      </c>
      <c r="Q30" s="137"/>
      <c r="R30" s="334"/>
      <c r="S30" s="228"/>
      <c r="T30" s="229"/>
      <c r="U30" s="229"/>
      <c r="V30" s="230"/>
      <c r="W30" s="230"/>
      <c r="X30" s="230"/>
      <c r="Y30" s="230"/>
      <c r="Z30" s="230"/>
      <c r="AA30" s="230"/>
      <c r="AB30" s="230"/>
      <c r="AC30" s="230"/>
      <c r="AD30" s="127"/>
      <c r="AE30" s="127"/>
      <c r="AF30" s="127"/>
    </row>
    <row r="31" spans="1:32" s="28" customFormat="1" ht="15.75" customHeight="1">
      <c r="A31" s="320"/>
      <c r="B31" s="334"/>
      <c r="C31" s="138"/>
      <c r="D31" s="36"/>
      <c r="E31" s="30" t="s">
        <v>229</v>
      </c>
      <c r="F31" s="71">
        <v>1</v>
      </c>
      <c r="G31" s="72">
        <v>2</v>
      </c>
      <c r="H31" s="73">
        <v>3</v>
      </c>
      <c r="I31" s="74">
        <v>4</v>
      </c>
      <c r="J31" s="75">
        <v>5</v>
      </c>
      <c r="K31" s="76">
        <v>6</v>
      </c>
      <c r="L31" s="77">
        <v>7</v>
      </c>
      <c r="M31" s="78">
        <v>8</v>
      </c>
      <c r="N31" s="79">
        <v>9</v>
      </c>
      <c r="O31" s="80">
        <v>10</v>
      </c>
      <c r="P31" s="32" t="s">
        <v>0</v>
      </c>
      <c r="Q31" s="139"/>
      <c r="R31" s="334"/>
      <c r="S31" s="133">
        <f>VLOOKUP($E31,R.VL_DEQResourcesInvolved,2,FALSE)</f>
        <v>0</v>
      </c>
      <c r="T31" s="121">
        <f>VLOOKUP($E31,R.VL_DEQResourcesInvolved,3,FALSE)</f>
        <v>0</v>
      </c>
      <c r="U31" s="121">
        <f>IF(S31=10,T31,VLOOKUP($E31,R.VL_DEQResourcesInvolved,4,FALSE))</f>
        <v>0</v>
      </c>
      <c r="V31" s="575" t="s">
        <v>554</v>
      </c>
      <c r="W31" s="64"/>
      <c r="X31" s="64"/>
      <c r="Y31" s="64"/>
      <c r="Z31" s="64"/>
      <c r="AA31" s="64"/>
      <c r="AB31" s="64"/>
      <c r="AC31" s="64"/>
      <c r="AD31" s="130"/>
      <c r="AE31" s="130"/>
      <c r="AF31" s="130"/>
    </row>
    <row r="32" spans="1:32" s="28" customFormat="1" ht="20.25" hidden="1" customHeight="1" outlineLevel="1">
      <c r="A32" s="320"/>
      <c r="B32" s="334"/>
      <c r="C32" s="138"/>
      <c r="D32" s="36" t="s">
        <v>0</v>
      </c>
      <c r="E32" s="30" t="s">
        <v>229</v>
      </c>
      <c r="F32" s="71">
        <v>1</v>
      </c>
      <c r="G32" s="72">
        <v>2</v>
      </c>
      <c r="H32" s="73">
        <v>3</v>
      </c>
      <c r="I32" s="74">
        <v>4</v>
      </c>
      <c r="J32" s="75">
        <v>5</v>
      </c>
      <c r="K32" s="76">
        <v>6</v>
      </c>
      <c r="L32" s="77">
        <v>7</v>
      </c>
      <c r="M32" s="78">
        <v>8</v>
      </c>
      <c r="N32" s="79">
        <v>9</v>
      </c>
      <c r="O32" s="80">
        <v>10</v>
      </c>
      <c r="P32" s="32" t="s">
        <v>0</v>
      </c>
      <c r="Q32" s="139"/>
      <c r="R32" s="334"/>
      <c r="S32" s="133">
        <f>VLOOKUP($E32,R.VL_DEQResourcesInvolved,2,FALSE)</f>
        <v>0</v>
      </c>
      <c r="T32" s="121">
        <f>VLOOKUP($E32,R.VL_DEQResourcesInvolved,3,FALSE)</f>
        <v>0</v>
      </c>
      <c r="U32" s="121">
        <f>IF(S32=10,T32,VLOOKUP($E32,R.VL_DEQResourcesInvolved,4,FALSE))</f>
        <v>0</v>
      </c>
      <c r="V32" s="64"/>
      <c r="W32" s="64"/>
      <c r="X32" s="64"/>
      <c r="Y32" s="64"/>
      <c r="Z32" s="64"/>
      <c r="AA32" s="64"/>
      <c r="AB32" s="64"/>
      <c r="AC32" s="64"/>
      <c r="AD32" s="130"/>
      <c r="AE32" s="130"/>
      <c r="AF32" s="130"/>
    </row>
    <row r="33" spans="1:32" s="28" customFormat="1" ht="20.25" hidden="1" customHeight="1" outlineLevel="1">
      <c r="A33" s="320"/>
      <c r="B33" s="334"/>
      <c r="C33" s="138"/>
      <c r="D33" s="36" t="s">
        <v>0</v>
      </c>
      <c r="E33" s="30" t="s">
        <v>229</v>
      </c>
      <c r="F33" s="71">
        <v>1</v>
      </c>
      <c r="G33" s="72">
        <v>2</v>
      </c>
      <c r="H33" s="73">
        <v>3</v>
      </c>
      <c r="I33" s="74">
        <v>4</v>
      </c>
      <c r="J33" s="75">
        <v>5</v>
      </c>
      <c r="K33" s="76">
        <v>6</v>
      </c>
      <c r="L33" s="77">
        <v>7</v>
      </c>
      <c r="M33" s="78">
        <v>8</v>
      </c>
      <c r="N33" s="79">
        <v>9</v>
      </c>
      <c r="O33" s="80">
        <v>10</v>
      </c>
      <c r="P33" s="32" t="s">
        <v>0</v>
      </c>
      <c r="Q33" s="139"/>
      <c r="R33" s="334"/>
      <c r="S33" s="133">
        <f>VLOOKUP($E33,R.VL_DEQResourcesInvolved,2,FALSE)</f>
        <v>0</v>
      </c>
      <c r="T33" s="121">
        <f>VLOOKUP($E33,R.VL_DEQResourcesInvolved,3,FALSE)</f>
        <v>0</v>
      </c>
      <c r="U33" s="121">
        <f>IF(S33=10,T33,VLOOKUP($E33,R.VL_DEQResourcesInvolved,4,FALSE))</f>
        <v>0</v>
      </c>
      <c r="V33" s="64"/>
      <c r="W33" s="64"/>
      <c r="X33" s="64"/>
      <c r="Y33" s="64"/>
      <c r="Z33" s="64"/>
      <c r="AA33" s="64"/>
      <c r="AB33" s="64"/>
      <c r="AC33" s="64"/>
      <c r="AD33" s="130"/>
      <c r="AE33" s="130"/>
      <c r="AF33" s="130"/>
    </row>
    <row r="34" spans="1:32" s="28" customFormat="1" ht="20.25" hidden="1" customHeight="1" outlineLevel="1">
      <c r="A34" s="320"/>
      <c r="B34" s="334"/>
      <c r="C34" s="138"/>
      <c r="D34" s="36" t="s">
        <v>0</v>
      </c>
      <c r="E34" s="30" t="s">
        <v>229</v>
      </c>
      <c r="F34" s="71">
        <v>1</v>
      </c>
      <c r="G34" s="72">
        <v>2</v>
      </c>
      <c r="H34" s="73">
        <v>3</v>
      </c>
      <c r="I34" s="74">
        <v>4</v>
      </c>
      <c r="J34" s="75">
        <v>5</v>
      </c>
      <c r="K34" s="76">
        <v>6</v>
      </c>
      <c r="L34" s="77">
        <v>7</v>
      </c>
      <c r="M34" s="78">
        <v>8</v>
      </c>
      <c r="N34" s="79">
        <v>9</v>
      </c>
      <c r="O34" s="80">
        <v>10</v>
      </c>
      <c r="P34" s="32" t="s">
        <v>0</v>
      </c>
      <c r="Q34" s="139"/>
      <c r="R34" s="334"/>
      <c r="S34" s="133">
        <f>VLOOKUP($E34,R.VL_DEQResourcesInvolved,2,FALSE)</f>
        <v>0</v>
      </c>
      <c r="T34" s="121">
        <f>VLOOKUP($E34,R.VL_DEQResourcesInvolved,3,FALSE)</f>
        <v>0</v>
      </c>
      <c r="U34" s="121">
        <f>IF(S34=10,T34,VLOOKUP($E34,R.VL_DEQResourcesInvolved,4,FALSE))</f>
        <v>0</v>
      </c>
      <c r="V34" s="64"/>
      <c r="W34" s="64"/>
      <c r="X34" s="64"/>
      <c r="Y34" s="64"/>
      <c r="Z34" s="64"/>
      <c r="AA34" s="64"/>
      <c r="AB34" s="64"/>
      <c r="AC34" s="64"/>
      <c r="AD34" s="130"/>
      <c r="AE34" s="130"/>
      <c r="AF34" s="130"/>
    </row>
    <row r="35" spans="1:32" s="28" customFormat="1" ht="14.25" customHeight="1" collapsed="1">
      <c r="A35" s="320"/>
      <c r="B35" s="334"/>
      <c r="C35" s="142"/>
      <c r="D35" s="443" t="s">
        <v>52</v>
      </c>
      <c r="E35" s="31"/>
      <c r="F35" s="31"/>
      <c r="G35" s="31"/>
      <c r="H35" s="31"/>
      <c r="I35" s="31"/>
      <c r="J35" s="31"/>
      <c r="K35" s="31"/>
      <c r="L35" s="31"/>
      <c r="M35" s="31"/>
      <c r="N35" s="31"/>
      <c r="O35" s="31"/>
      <c r="P35" s="31"/>
      <c r="Q35" s="143"/>
      <c r="R35" s="334"/>
      <c r="S35" s="132"/>
      <c r="T35" s="131"/>
      <c r="U35" s="131"/>
      <c r="V35" s="64"/>
      <c r="W35" s="64"/>
      <c r="X35" s="64"/>
      <c r="Y35" s="64"/>
      <c r="Z35" s="64"/>
      <c r="AA35" s="64"/>
      <c r="AB35" s="64"/>
      <c r="AC35" s="64"/>
      <c r="AD35" s="130"/>
      <c r="AE35" s="130"/>
      <c r="AF35" s="130"/>
    </row>
    <row r="36" spans="1:32" s="28" customFormat="1" ht="15.75" customHeight="1">
      <c r="A36" s="320"/>
      <c r="B36" s="334"/>
      <c r="C36" s="138"/>
      <c r="D36" s="724" t="s">
        <v>0</v>
      </c>
      <c r="E36" s="725"/>
      <c r="F36" s="725"/>
      <c r="G36" s="725"/>
      <c r="H36" s="725"/>
      <c r="I36" s="725"/>
      <c r="J36" s="725"/>
      <c r="K36" s="725"/>
      <c r="L36" s="725"/>
      <c r="M36" s="725"/>
      <c r="N36" s="725"/>
      <c r="O36" s="725"/>
      <c r="P36" s="726"/>
      <c r="Q36" s="139"/>
      <c r="R36" s="334"/>
      <c r="S36" s="132" t="s">
        <v>0</v>
      </c>
      <c r="T36" s="131"/>
      <c r="U36" s="131"/>
      <c r="V36" s="64"/>
      <c r="W36" s="64"/>
      <c r="X36" s="64"/>
      <c r="Y36" s="64"/>
      <c r="Z36" s="64"/>
      <c r="AA36" s="64"/>
      <c r="AB36" s="64"/>
      <c r="AC36" s="64"/>
      <c r="AD36" s="130"/>
      <c r="AE36" s="130"/>
      <c r="AF36" s="130"/>
    </row>
    <row r="37" spans="1:32" s="33" customFormat="1" ht="14.25" customHeight="1">
      <c r="A37" s="319"/>
      <c r="B37" s="334"/>
      <c r="C37" s="232"/>
      <c r="D37" s="442" t="s">
        <v>60</v>
      </c>
      <c r="E37" s="159" t="s">
        <v>18</v>
      </c>
      <c r="F37" s="159" t="s">
        <v>19</v>
      </c>
      <c r="G37" s="159"/>
      <c r="H37" s="159"/>
      <c r="I37" s="159"/>
      <c r="J37" s="159"/>
      <c r="K37" s="159"/>
      <c r="L37" s="159"/>
      <c r="M37" s="159"/>
      <c r="N37" s="159"/>
      <c r="O37" s="159"/>
      <c r="P37" s="159" t="s">
        <v>20</v>
      </c>
      <c r="Q37" s="137"/>
      <c r="R37" s="334"/>
      <c r="S37" s="228"/>
      <c r="T37" s="229"/>
      <c r="U37" s="229"/>
      <c r="V37" s="230"/>
      <c r="W37" s="230"/>
      <c r="X37" s="230"/>
      <c r="Y37" s="230"/>
      <c r="Z37" s="230"/>
      <c r="AA37" s="230"/>
      <c r="AB37" s="230"/>
      <c r="AC37" s="230"/>
      <c r="AD37" s="127"/>
      <c r="AE37" s="127"/>
      <c r="AF37" s="127"/>
    </row>
    <row r="38" spans="1:32" s="28" customFormat="1" ht="15.75" customHeight="1">
      <c r="A38" s="320"/>
      <c r="B38" s="334"/>
      <c r="C38" s="138"/>
      <c r="D38" s="36" t="s">
        <v>0</v>
      </c>
      <c r="E38" s="30" t="s">
        <v>229</v>
      </c>
      <c r="F38" s="71">
        <v>1</v>
      </c>
      <c r="G38" s="72">
        <v>2</v>
      </c>
      <c r="H38" s="73">
        <v>3</v>
      </c>
      <c r="I38" s="74">
        <v>4</v>
      </c>
      <c r="J38" s="75">
        <v>5</v>
      </c>
      <c r="K38" s="76">
        <v>6</v>
      </c>
      <c r="L38" s="77">
        <v>7</v>
      </c>
      <c r="M38" s="78">
        <v>8</v>
      </c>
      <c r="N38" s="79">
        <v>9</v>
      </c>
      <c r="O38" s="80">
        <v>10</v>
      </c>
      <c r="P38" s="32" t="s">
        <v>0</v>
      </c>
      <c r="Q38" s="139"/>
      <c r="R38" s="334"/>
      <c r="S38" s="133">
        <f>VLOOKUP($E38,R.VL_DEQResourcesInvolved,2,FALSE)</f>
        <v>0</v>
      </c>
      <c r="T38" s="121">
        <f>VLOOKUP($E38,R.VL_DEQResourcesInvolved,3,FALSE)</f>
        <v>0</v>
      </c>
      <c r="U38" s="121">
        <f>IF(S38=10,T38,VLOOKUP($E38,R.VL_DEQResourcesInvolved,4,FALSE))</f>
        <v>0</v>
      </c>
      <c r="V38" s="575" t="s">
        <v>554</v>
      </c>
      <c r="W38" s="64"/>
      <c r="X38" s="64"/>
      <c r="Y38" s="64"/>
      <c r="Z38" s="64"/>
      <c r="AA38" s="64"/>
      <c r="AB38" s="64"/>
      <c r="AC38" s="64"/>
      <c r="AD38" s="130"/>
      <c r="AE38" s="130"/>
      <c r="AF38" s="130"/>
    </row>
    <row r="39" spans="1:32" s="28" customFormat="1" ht="20.25" hidden="1" customHeight="1" outlineLevel="1">
      <c r="A39" s="320"/>
      <c r="B39" s="334"/>
      <c r="C39" s="138"/>
      <c r="D39" s="36" t="s">
        <v>0</v>
      </c>
      <c r="E39" s="30" t="s">
        <v>229</v>
      </c>
      <c r="F39" s="71">
        <v>1</v>
      </c>
      <c r="G39" s="72">
        <v>2</v>
      </c>
      <c r="H39" s="73">
        <v>3</v>
      </c>
      <c r="I39" s="74">
        <v>4</v>
      </c>
      <c r="J39" s="75">
        <v>5</v>
      </c>
      <c r="K39" s="76">
        <v>6</v>
      </c>
      <c r="L39" s="77">
        <v>7</v>
      </c>
      <c r="M39" s="78">
        <v>8</v>
      </c>
      <c r="N39" s="79">
        <v>9</v>
      </c>
      <c r="O39" s="80">
        <v>10</v>
      </c>
      <c r="P39" s="32" t="s">
        <v>0</v>
      </c>
      <c r="Q39" s="139"/>
      <c r="R39" s="334"/>
      <c r="S39" s="133">
        <f>VLOOKUP($E39,R.VL_DEQResourcesInvolved,2,FALSE)</f>
        <v>0</v>
      </c>
      <c r="T39" s="121">
        <f>VLOOKUP($E39,R.VL_DEQResourcesInvolved,3,FALSE)</f>
        <v>0</v>
      </c>
      <c r="U39" s="121">
        <f>IF(S39=10,T39,VLOOKUP($E39,R.VL_DEQResourcesInvolved,4,FALSE))</f>
        <v>0</v>
      </c>
      <c r="V39" s="64"/>
      <c r="W39" s="64"/>
      <c r="X39" s="64"/>
      <c r="Y39" s="64"/>
      <c r="Z39" s="64"/>
      <c r="AA39" s="64"/>
      <c r="AB39" s="64"/>
      <c r="AC39" s="64"/>
      <c r="AD39" s="130"/>
      <c r="AE39" s="130"/>
      <c r="AF39" s="130"/>
    </row>
    <row r="40" spans="1:32" s="28" customFormat="1" ht="20.25" hidden="1" customHeight="1" outlineLevel="1">
      <c r="A40" s="320"/>
      <c r="B40" s="334"/>
      <c r="C40" s="138"/>
      <c r="D40" s="36" t="s">
        <v>0</v>
      </c>
      <c r="E40" s="30" t="s">
        <v>229</v>
      </c>
      <c r="F40" s="71">
        <v>1</v>
      </c>
      <c r="G40" s="72">
        <v>2</v>
      </c>
      <c r="H40" s="73">
        <v>3</v>
      </c>
      <c r="I40" s="74">
        <v>4</v>
      </c>
      <c r="J40" s="75">
        <v>5</v>
      </c>
      <c r="K40" s="76">
        <v>6</v>
      </c>
      <c r="L40" s="77">
        <v>7</v>
      </c>
      <c r="M40" s="78">
        <v>8</v>
      </c>
      <c r="N40" s="79">
        <v>9</v>
      </c>
      <c r="O40" s="80">
        <v>10</v>
      </c>
      <c r="P40" s="32" t="s">
        <v>0</v>
      </c>
      <c r="Q40" s="139"/>
      <c r="R40" s="334"/>
      <c r="S40" s="133">
        <f>VLOOKUP($E40,R.VL_DEQResourcesInvolved,2,FALSE)</f>
        <v>0</v>
      </c>
      <c r="T40" s="121">
        <f>VLOOKUP($E40,R.VL_DEQResourcesInvolved,3,FALSE)</f>
        <v>0</v>
      </c>
      <c r="U40" s="121">
        <f>IF(S40=10,T40,VLOOKUP($E40,R.VL_DEQResourcesInvolved,4,FALSE))</f>
        <v>0</v>
      </c>
      <c r="V40" s="64"/>
      <c r="W40" s="64"/>
      <c r="X40" s="64"/>
      <c r="Y40" s="64"/>
      <c r="Z40" s="64"/>
      <c r="AA40" s="64"/>
      <c r="AB40" s="64"/>
      <c r="AC40" s="64"/>
      <c r="AD40" s="130"/>
      <c r="AE40" s="130"/>
      <c r="AF40" s="130"/>
    </row>
    <row r="41" spans="1:32" s="28" customFormat="1" ht="20.25" hidden="1" customHeight="1" outlineLevel="1">
      <c r="A41" s="320"/>
      <c r="B41" s="334"/>
      <c r="C41" s="138"/>
      <c r="D41" s="36" t="s">
        <v>0</v>
      </c>
      <c r="E41" s="30" t="s">
        <v>229</v>
      </c>
      <c r="F41" s="71">
        <v>1</v>
      </c>
      <c r="G41" s="72">
        <v>2</v>
      </c>
      <c r="H41" s="73">
        <v>3</v>
      </c>
      <c r="I41" s="74">
        <v>4</v>
      </c>
      <c r="J41" s="75">
        <v>5</v>
      </c>
      <c r="K41" s="76">
        <v>6</v>
      </c>
      <c r="L41" s="77">
        <v>7</v>
      </c>
      <c r="M41" s="78">
        <v>8</v>
      </c>
      <c r="N41" s="79">
        <v>9</v>
      </c>
      <c r="O41" s="80">
        <v>10</v>
      </c>
      <c r="P41" s="32" t="s">
        <v>0</v>
      </c>
      <c r="Q41" s="139"/>
      <c r="R41" s="334"/>
      <c r="S41" s="133">
        <f>VLOOKUP($E41,R.VL_DEQResourcesInvolved,2,FALSE)</f>
        <v>0</v>
      </c>
      <c r="T41" s="121">
        <f>VLOOKUP($E41,R.VL_DEQResourcesInvolved,3,FALSE)</f>
        <v>0</v>
      </c>
      <c r="U41" s="121">
        <f>IF(S41=10,T41,VLOOKUP($E41,R.VL_DEQResourcesInvolved,4,FALSE))</f>
        <v>0</v>
      </c>
      <c r="V41" s="64"/>
      <c r="W41" s="64"/>
      <c r="X41" s="64"/>
      <c r="Y41" s="64"/>
      <c r="Z41" s="64"/>
      <c r="AA41" s="64"/>
      <c r="AB41" s="64"/>
      <c r="AC41" s="64"/>
      <c r="AD41" s="130"/>
      <c r="AE41" s="130"/>
      <c r="AF41" s="130"/>
    </row>
    <row r="42" spans="1:32" s="28" customFormat="1" ht="14.25" customHeight="1" collapsed="1">
      <c r="A42" s="320"/>
      <c r="B42" s="334"/>
      <c r="C42" s="376"/>
      <c r="D42" s="481"/>
      <c r="E42" s="739"/>
      <c r="F42" s="739"/>
      <c r="G42" s="739"/>
      <c r="H42" s="739"/>
      <c r="I42" s="739"/>
      <c r="J42" s="739"/>
      <c r="K42" s="739"/>
      <c r="L42" s="739"/>
      <c r="M42" s="739"/>
      <c r="N42" s="739"/>
      <c r="O42" s="739"/>
      <c r="P42" s="739"/>
      <c r="Q42" s="379"/>
      <c r="R42" s="334"/>
      <c r="S42" s="132"/>
      <c r="T42" s="131"/>
      <c r="U42" s="131"/>
      <c r="V42" s="64"/>
      <c r="W42" s="64"/>
      <c r="X42" s="64"/>
      <c r="Y42" s="64"/>
      <c r="Z42" s="64"/>
      <c r="AA42" s="64"/>
      <c r="AB42" s="64"/>
      <c r="AC42" s="64"/>
      <c r="AD42" s="130"/>
      <c r="AE42" s="130"/>
      <c r="AF42" s="130"/>
    </row>
    <row r="43" spans="1:32" s="33" customFormat="1" ht="30" customHeight="1">
      <c r="A43" s="350" t="s">
        <v>107</v>
      </c>
      <c r="B43" s="334"/>
      <c r="C43" s="480" t="s">
        <v>0</v>
      </c>
      <c r="D43" s="484" t="s">
        <v>106</v>
      </c>
      <c r="E43" s="94"/>
      <c r="F43" s="94"/>
      <c r="G43" s="94"/>
      <c r="H43" s="94"/>
      <c r="I43" s="94"/>
      <c r="J43" s="94"/>
      <c r="K43" s="94"/>
      <c r="L43" s="94"/>
      <c r="M43" s="94"/>
      <c r="N43" s="94"/>
      <c r="O43" s="94"/>
      <c r="P43" s="94"/>
      <c r="Q43" s="137"/>
      <c r="R43" s="334"/>
      <c r="S43" s="134"/>
      <c r="T43" s="131" t="s">
        <v>0</v>
      </c>
      <c r="U43" s="131"/>
      <c r="V43" s="129"/>
      <c r="W43" s="129"/>
      <c r="X43" s="129"/>
      <c r="Y43" s="129"/>
      <c r="Z43" s="129"/>
      <c r="AA43" s="129"/>
      <c r="AB43" s="129"/>
      <c r="AC43" s="129"/>
      <c r="AD43" s="127"/>
      <c r="AE43" s="127"/>
      <c r="AF43" s="127"/>
    </row>
    <row r="44" spans="1:32" s="33" customFormat="1" ht="14.25" customHeight="1">
      <c r="A44" s="319"/>
      <c r="B44" s="334"/>
      <c r="C44" s="232"/>
      <c r="D44" s="443" t="s">
        <v>53</v>
      </c>
      <c r="E44" s="94"/>
      <c r="F44" s="94"/>
      <c r="G44" s="94"/>
      <c r="H44" s="94"/>
      <c r="I44" s="94"/>
      <c r="J44" s="94"/>
      <c r="K44" s="94"/>
      <c r="L44" s="94"/>
      <c r="M44" s="94"/>
      <c r="N44" s="94"/>
      <c r="O44" s="94"/>
      <c r="P44" s="94"/>
      <c r="Q44" s="137"/>
      <c r="R44" s="334"/>
      <c r="S44" s="235"/>
      <c r="T44" s="229"/>
      <c r="U44" s="229"/>
      <c r="V44" s="230"/>
      <c r="W44" s="230"/>
      <c r="X44" s="230"/>
      <c r="Y44" s="230"/>
      <c r="Z44" s="230"/>
      <c r="AA44" s="230"/>
      <c r="AB44" s="230"/>
      <c r="AC44" s="230"/>
      <c r="AD44" s="127"/>
      <c r="AE44" s="127"/>
      <c r="AF44" s="127"/>
    </row>
    <row r="45" spans="1:32" s="28" customFormat="1" ht="15.75" customHeight="1">
      <c r="A45" s="320"/>
      <c r="B45" s="334"/>
      <c r="C45" s="138"/>
      <c r="D45" s="724" t="s">
        <v>157</v>
      </c>
      <c r="E45" s="725"/>
      <c r="F45" s="725"/>
      <c r="G45" s="725"/>
      <c r="H45" s="725"/>
      <c r="I45" s="725"/>
      <c r="J45" s="725"/>
      <c r="K45" s="725"/>
      <c r="L45" s="725"/>
      <c r="M45" s="725"/>
      <c r="N45" s="725"/>
      <c r="O45" s="725"/>
      <c r="P45" s="726"/>
      <c r="Q45" s="139"/>
      <c r="R45" s="334"/>
      <c r="S45" s="132" t="s">
        <v>0</v>
      </c>
      <c r="T45" s="131"/>
      <c r="U45" s="131"/>
      <c r="V45" s="64"/>
      <c r="W45" s="64"/>
      <c r="X45" s="64"/>
      <c r="Y45" s="64"/>
      <c r="Z45" s="64"/>
      <c r="AA45" s="64"/>
      <c r="AB45" s="64"/>
      <c r="AC45" s="64"/>
      <c r="AD45" s="130"/>
      <c r="AE45" s="130"/>
      <c r="AF45" s="130"/>
    </row>
    <row r="46" spans="1:32" s="33" customFormat="1" ht="14.25" customHeight="1">
      <c r="A46" s="319"/>
      <c r="B46" s="334"/>
      <c r="C46" s="233"/>
      <c r="D46" s="497" t="s">
        <v>60</v>
      </c>
      <c r="E46" s="393" t="s">
        <v>18</v>
      </c>
      <c r="F46" s="733" t="s">
        <v>19</v>
      </c>
      <c r="G46" s="733"/>
      <c r="H46" s="733"/>
      <c r="I46" s="733"/>
      <c r="J46" s="733"/>
      <c r="K46" s="733"/>
      <c r="L46" s="733"/>
      <c r="M46" s="733"/>
      <c r="N46" s="733"/>
      <c r="O46" s="733"/>
      <c r="P46" s="393" t="s">
        <v>20</v>
      </c>
      <c r="Q46" s="137"/>
      <c r="R46" s="334"/>
      <c r="S46" s="228"/>
      <c r="T46" s="229"/>
      <c r="U46" s="229"/>
      <c r="V46" s="230"/>
      <c r="W46" s="230"/>
      <c r="X46" s="230"/>
      <c r="Y46" s="230"/>
      <c r="Z46" s="230"/>
      <c r="AA46" s="230"/>
      <c r="AB46" s="230"/>
      <c r="AC46" s="230"/>
      <c r="AD46" s="127"/>
      <c r="AE46" s="127"/>
      <c r="AF46" s="127"/>
    </row>
    <row r="47" spans="1:32" s="28" customFormat="1" ht="20.25" customHeight="1">
      <c r="A47" s="320"/>
      <c r="B47" s="334"/>
      <c r="C47" s="138"/>
      <c r="D47" s="36" t="s">
        <v>156</v>
      </c>
      <c r="E47" s="30" t="s">
        <v>231</v>
      </c>
      <c r="F47" s="71">
        <v>1</v>
      </c>
      <c r="G47" s="72">
        <v>2</v>
      </c>
      <c r="H47" s="73">
        <v>3</v>
      </c>
      <c r="I47" s="74">
        <v>4</v>
      </c>
      <c r="J47" s="75">
        <v>5</v>
      </c>
      <c r="K47" s="76">
        <v>6</v>
      </c>
      <c r="L47" s="77">
        <v>7</v>
      </c>
      <c r="M47" s="78">
        <v>8</v>
      </c>
      <c r="N47" s="79">
        <v>9</v>
      </c>
      <c r="O47" s="80">
        <v>10</v>
      </c>
      <c r="P47" s="32" t="s">
        <v>15</v>
      </c>
      <c r="Q47" s="139"/>
      <c r="R47" s="334"/>
      <c r="S47" s="133">
        <f>VLOOKUP($E47,R.VL_DEQResourcesInvolved,2,FALSE)</f>
        <v>1</v>
      </c>
      <c r="T47" s="121">
        <f>VLOOKUP($E47,R.VL_DEQResourcesInvolved,3,FALSE)</f>
        <v>1</v>
      </c>
      <c r="U47" s="121">
        <f>IF(S47=10,T47,VLOOKUP($E47,R.VL_DEQResourcesInvolved,4,FALSE))</f>
        <v>8</v>
      </c>
      <c r="V47" s="575" t="s">
        <v>554</v>
      </c>
      <c r="W47" s="64"/>
      <c r="X47" s="64"/>
      <c r="Y47" s="64"/>
      <c r="Z47" s="64"/>
      <c r="AA47" s="64"/>
      <c r="AB47" s="64"/>
      <c r="AC47" s="64"/>
      <c r="AD47" s="130"/>
      <c r="AE47" s="130"/>
      <c r="AF47" s="130"/>
    </row>
    <row r="48" spans="1:32" s="28" customFormat="1" ht="20.25" hidden="1" customHeight="1" outlineLevel="1">
      <c r="A48" s="320"/>
      <c r="B48" s="334"/>
      <c r="C48" s="138"/>
      <c r="D48" s="36" t="s">
        <v>0</v>
      </c>
      <c r="E48" s="30" t="s">
        <v>229</v>
      </c>
      <c r="F48" s="71">
        <v>1</v>
      </c>
      <c r="G48" s="72">
        <v>2</v>
      </c>
      <c r="H48" s="73">
        <v>3</v>
      </c>
      <c r="I48" s="74">
        <v>4</v>
      </c>
      <c r="J48" s="75">
        <v>5</v>
      </c>
      <c r="K48" s="76">
        <v>6</v>
      </c>
      <c r="L48" s="77">
        <v>7</v>
      </c>
      <c r="M48" s="78">
        <v>8</v>
      </c>
      <c r="N48" s="79">
        <v>9</v>
      </c>
      <c r="O48" s="80">
        <v>10</v>
      </c>
      <c r="P48" s="32" t="s">
        <v>0</v>
      </c>
      <c r="Q48" s="139"/>
      <c r="R48" s="334"/>
      <c r="S48" s="133">
        <f>VLOOKUP($E48,R.VL_DEQResourcesInvolved,2,FALSE)</f>
        <v>0</v>
      </c>
      <c r="T48" s="121">
        <f>VLOOKUP($E48,R.VL_DEQResourcesInvolved,3,FALSE)</f>
        <v>0</v>
      </c>
      <c r="U48" s="121">
        <f>IF(S48=10,T48,VLOOKUP($E48,R.VL_DEQResourcesInvolved,4,FALSE))</f>
        <v>0</v>
      </c>
      <c r="V48" s="64"/>
      <c r="W48" s="64"/>
      <c r="X48" s="64"/>
      <c r="Y48" s="64"/>
      <c r="Z48" s="64"/>
      <c r="AA48" s="64"/>
      <c r="AB48" s="64"/>
      <c r="AC48" s="64"/>
      <c r="AD48" s="130"/>
      <c r="AE48" s="130"/>
      <c r="AF48" s="130"/>
    </row>
    <row r="49" spans="1:32" s="28" customFormat="1" ht="20.25" hidden="1" customHeight="1" outlineLevel="1">
      <c r="A49" s="320"/>
      <c r="B49" s="334"/>
      <c r="C49" s="138"/>
      <c r="D49" s="36" t="s">
        <v>0</v>
      </c>
      <c r="E49" s="30" t="s">
        <v>229</v>
      </c>
      <c r="F49" s="71">
        <v>1</v>
      </c>
      <c r="G49" s="72">
        <v>2</v>
      </c>
      <c r="H49" s="73">
        <v>3</v>
      </c>
      <c r="I49" s="74">
        <v>4</v>
      </c>
      <c r="J49" s="75">
        <v>5</v>
      </c>
      <c r="K49" s="76">
        <v>6</v>
      </c>
      <c r="L49" s="77">
        <v>7</v>
      </c>
      <c r="M49" s="78">
        <v>8</v>
      </c>
      <c r="N49" s="79">
        <v>9</v>
      </c>
      <c r="O49" s="80">
        <v>10</v>
      </c>
      <c r="P49" s="32" t="s">
        <v>0</v>
      </c>
      <c r="Q49" s="139"/>
      <c r="R49" s="334"/>
      <c r="S49" s="133">
        <f>VLOOKUP($E49,R.VL_DEQResourcesInvolved,2,FALSE)</f>
        <v>0</v>
      </c>
      <c r="T49" s="121">
        <f>VLOOKUP($E49,R.VL_DEQResourcesInvolved,3,FALSE)</f>
        <v>0</v>
      </c>
      <c r="U49" s="121">
        <f>IF(S49=10,T49,VLOOKUP($E49,R.VL_DEQResourcesInvolved,4,FALSE))</f>
        <v>0</v>
      </c>
      <c r="V49" s="64"/>
      <c r="W49" s="64"/>
      <c r="X49" s="64"/>
      <c r="Y49" s="64"/>
      <c r="Z49" s="64"/>
      <c r="AA49" s="64"/>
      <c r="AB49" s="64"/>
      <c r="AC49" s="64"/>
      <c r="AD49" s="130"/>
      <c r="AE49" s="130"/>
      <c r="AF49" s="130"/>
    </row>
    <row r="50" spans="1:32" s="28" customFormat="1" ht="20.25" hidden="1" customHeight="1" outlineLevel="1">
      <c r="A50" s="320"/>
      <c r="B50" s="334"/>
      <c r="C50" s="138"/>
      <c r="D50" s="36" t="s">
        <v>0</v>
      </c>
      <c r="E50" s="30" t="s">
        <v>229</v>
      </c>
      <c r="F50" s="71">
        <v>1</v>
      </c>
      <c r="G50" s="72">
        <v>2</v>
      </c>
      <c r="H50" s="73">
        <v>3</v>
      </c>
      <c r="I50" s="74">
        <v>4</v>
      </c>
      <c r="J50" s="75">
        <v>5</v>
      </c>
      <c r="K50" s="76">
        <v>6</v>
      </c>
      <c r="L50" s="77">
        <v>7</v>
      </c>
      <c r="M50" s="78">
        <v>8</v>
      </c>
      <c r="N50" s="79">
        <v>9</v>
      </c>
      <c r="O50" s="80">
        <v>10</v>
      </c>
      <c r="P50" s="32" t="s">
        <v>0</v>
      </c>
      <c r="Q50" s="139"/>
      <c r="R50" s="334"/>
      <c r="S50" s="133">
        <f>VLOOKUP($E50,R.VL_DEQResourcesInvolved,2,FALSE)</f>
        <v>0</v>
      </c>
      <c r="T50" s="121">
        <f>VLOOKUP($E50,R.VL_DEQResourcesInvolved,3,FALSE)</f>
        <v>0</v>
      </c>
      <c r="U50" s="121">
        <f>IF(S50=10,T50,VLOOKUP($E50,R.VL_DEQResourcesInvolved,4,FALSE))</f>
        <v>0</v>
      </c>
      <c r="V50" s="64"/>
      <c r="W50" s="64"/>
      <c r="X50" s="64"/>
      <c r="Y50" s="64"/>
      <c r="Z50" s="64"/>
      <c r="AA50" s="64"/>
      <c r="AB50" s="64"/>
      <c r="AC50" s="64"/>
      <c r="AD50" s="130"/>
      <c r="AE50" s="130"/>
      <c r="AF50" s="130"/>
    </row>
    <row r="51" spans="1:32" s="28" customFormat="1" ht="14.25" customHeight="1" collapsed="1">
      <c r="A51" s="320"/>
      <c r="B51" s="334"/>
      <c r="C51" s="245"/>
      <c r="D51" s="442" t="s">
        <v>52</v>
      </c>
      <c r="E51" s="31"/>
      <c r="F51" s="31"/>
      <c r="G51" s="31"/>
      <c r="H51" s="31"/>
      <c r="I51" s="31"/>
      <c r="J51" s="31"/>
      <c r="K51" s="31"/>
      <c r="L51" s="31"/>
      <c r="M51" s="31"/>
      <c r="N51" s="31"/>
      <c r="O51" s="31"/>
      <c r="P51" s="31"/>
      <c r="Q51" s="143"/>
      <c r="R51" s="334"/>
      <c r="S51" s="228"/>
      <c r="T51" s="229"/>
      <c r="U51" s="229"/>
      <c r="V51" s="236"/>
      <c r="W51" s="236"/>
      <c r="X51" s="236"/>
      <c r="Y51" s="236"/>
      <c r="Z51" s="236"/>
      <c r="AA51" s="236"/>
      <c r="AB51" s="236"/>
      <c r="AC51" s="236"/>
      <c r="AD51" s="130"/>
      <c r="AE51" s="130"/>
      <c r="AF51" s="130"/>
    </row>
    <row r="52" spans="1:32" s="28" customFormat="1" ht="20.25" customHeight="1">
      <c r="A52" s="320"/>
      <c r="B52" s="334"/>
      <c r="C52" s="138"/>
      <c r="D52" s="734" t="s">
        <v>158</v>
      </c>
      <c r="E52" s="735"/>
      <c r="F52" s="735"/>
      <c r="G52" s="735"/>
      <c r="H52" s="735"/>
      <c r="I52" s="735"/>
      <c r="J52" s="735"/>
      <c r="K52" s="735"/>
      <c r="L52" s="735"/>
      <c r="M52" s="735"/>
      <c r="N52" s="735"/>
      <c r="O52" s="735"/>
      <c r="P52" s="736"/>
      <c r="Q52" s="139"/>
      <c r="R52" s="334"/>
      <c r="S52" s="132" t="s">
        <v>0</v>
      </c>
      <c r="T52" s="131"/>
      <c r="U52" s="131"/>
      <c r="V52" s="64"/>
      <c r="W52" s="64"/>
      <c r="X52" s="64"/>
      <c r="Y52" s="64"/>
      <c r="Z52" s="64"/>
      <c r="AA52" s="64"/>
      <c r="AB52" s="64"/>
      <c r="AC52" s="64"/>
      <c r="AD52" s="130"/>
      <c r="AE52" s="130"/>
      <c r="AF52" s="130"/>
    </row>
    <row r="53" spans="1:32" s="33" customFormat="1" ht="14.25" customHeight="1">
      <c r="A53" s="319"/>
      <c r="B53" s="334"/>
      <c r="C53" s="232"/>
      <c r="D53" s="442" t="s">
        <v>60</v>
      </c>
      <c r="E53" s="292" t="s">
        <v>18</v>
      </c>
      <c r="F53" s="292" t="s">
        <v>19</v>
      </c>
      <c r="G53" s="292"/>
      <c r="H53" s="292"/>
      <c r="I53" s="292"/>
      <c r="J53" s="292"/>
      <c r="K53" s="292"/>
      <c r="L53" s="292"/>
      <c r="M53" s="292"/>
      <c r="N53" s="292"/>
      <c r="O53" s="292"/>
      <c r="P53" s="292" t="s">
        <v>20</v>
      </c>
      <c r="Q53" s="137"/>
      <c r="R53" s="334"/>
      <c r="S53" s="228"/>
      <c r="T53" s="229"/>
      <c r="U53" s="229"/>
      <c r="V53" s="230"/>
      <c r="W53" s="230"/>
      <c r="X53" s="230"/>
      <c r="Y53" s="230"/>
      <c r="Z53" s="230"/>
      <c r="AA53" s="230"/>
      <c r="AB53" s="230"/>
      <c r="AC53" s="230"/>
      <c r="AD53" s="127"/>
      <c r="AE53" s="127"/>
      <c r="AF53" s="127"/>
    </row>
    <row r="54" spans="1:32" s="28" customFormat="1" ht="20.25" customHeight="1">
      <c r="A54" s="320"/>
      <c r="B54" s="334"/>
      <c r="C54" s="138"/>
      <c r="D54" s="36" t="s">
        <v>156</v>
      </c>
      <c r="E54" s="30" t="s">
        <v>231</v>
      </c>
      <c r="F54" s="71">
        <v>1</v>
      </c>
      <c r="G54" s="72">
        <v>2</v>
      </c>
      <c r="H54" s="73">
        <v>3</v>
      </c>
      <c r="I54" s="74">
        <v>4</v>
      </c>
      <c r="J54" s="75">
        <v>5</v>
      </c>
      <c r="K54" s="76">
        <v>6</v>
      </c>
      <c r="L54" s="77">
        <v>7</v>
      </c>
      <c r="M54" s="78">
        <v>8</v>
      </c>
      <c r="N54" s="79">
        <v>9</v>
      </c>
      <c r="O54" s="80">
        <v>10</v>
      </c>
      <c r="P54" s="32" t="s">
        <v>15</v>
      </c>
      <c r="Q54" s="139"/>
      <c r="R54" s="334"/>
      <c r="S54" s="133">
        <f>VLOOKUP($E54,R.VL_DEQResourcesInvolved,2,FALSE)</f>
        <v>1</v>
      </c>
      <c r="T54" s="121">
        <f>VLOOKUP($E54,R.VL_DEQResourcesInvolved,3,FALSE)</f>
        <v>1</v>
      </c>
      <c r="U54" s="121">
        <f>IF(S54=10,T54,VLOOKUP($E54,R.VL_DEQResourcesInvolved,4,FALSE))</f>
        <v>8</v>
      </c>
      <c r="V54" s="575" t="s">
        <v>554</v>
      </c>
      <c r="W54" s="64"/>
      <c r="X54" s="64"/>
      <c r="Y54" s="64"/>
      <c r="Z54" s="64"/>
      <c r="AA54" s="64"/>
      <c r="AB54" s="64"/>
      <c r="AC54" s="64"/>
      <c r="AD54" s="130"/>
      <c r="AE54" s="130"/>
      <c r="AF54" s="130"/>
    </row>
    <row r="55" spans="1:32" s="28" customFormat="1" ht="20.25" hidden="1" customHeight="1" outlineLevel="1">
      <c r="A55" s="320"/>
      <c r="B55" s="334"/>
      <c r="C55" s="138"/>
      <c r="D55" s="36" t="s">
        <v>0</v>
      </c>
      <c r="E55" s="30" t="s">
        <v>229</v>
      </c>
      <c r="F55" s="71">
        <v>1</v>
      </c>
      <c r="G55" s="72">
        <v>2</v>
      </c>
      <c r="H55" s="73">
        <v>3</v>
      </c>
      <c r="I55" s="74">
        <v>4</v>
      </c>
      <c r="J55" s="75">
        <v>5</v>
      </c>
      <c r="K55" s="76">
        <v>6</v>
      </c>
      <c r="L55" s="77">
        <v>7</v>
      </c>
      <c r="M55" s="78">
        <v>8</v>
      </c>
      <c r="N55" s="79">
        <v>9</v>
      </c>
      <c r="O55" s="80">
        <v>10</v>
      </c>
      <c r="P55" s="32" t="s">
        <v>0</v>
      </c>
      <c r="Q55" s="139"/>
      <c r="R55" s="334"/>
      <c r="S55" s="133">
        <f>VLOOKUP($E55,R.VL_DEQResourcesInvolved,2,FALSE)</f>
        <v>0</v>
      </c>
      <c r="T55" s="121">
        <f>VLOOKUP($E55,R.VL_DEQResourcesInvolved,3,FALSE)</f>
        <v>0</v>
      </c>
      <c r="U55" s="121">
        <f>IF(S55=10,T55,VLOOKUP($E55,R.VL_DEQResourcesInvolved,4,FALSE))</f>
        <v>0</v>
      </c>
      <c r="V55" s="64"/>
      <c r="W55" s="64"/>
      <c r="X55" s="64"/>
      <c r="Y55" s="64"/>
      <c r="Z55" s="64"/>
      <c r="AA55" s="64"/>
      <c r="AB55" s="64"/>
      <c r="AC55" s="64"/>
      <c r="AD55" s="130"/>
      <c r="AE55" s="130"/>
      <c r="AF55" s="130"/>
    </row>
    <row r="56" spans="1:32" s="28" customFormat="1" ht="20.25" hidden="1" customHeight="1" outlineLevel="1">
      <c r="A56" s="320"/>
      <c r="B56" s="334"/>
      <c r="C56" s="138"/>
      <c r="D56" s="36" t="s">
        <v>0</v>
      </c>
      <c r="E56" s="30" t="s">
        <v>229</v>
      </c>
      <c r="F56" s="71">
        <v>1</v>
      </c>
      <c r="G56" s="72">
        <v>2</v>
      </c>
      <c r="H56" s="73">
        <v>3</v>
      </c>
      <c r="I56" s="74">
        <v>4</v>
      </c>
      <c r="J56" s="75">
        <v>5</v>
      </c>
      <c r="K56" s="76">
        <v>6</v>
      </c>
      <c r="L56" s="77">
        <v>7</v>
      </c>
      <c r="M56" s="78">
        <v>8</v>
      </c>
      <c r="N56" s="79">
        <v>9</v>
      </c>
      <c r="O56" s="80">
        <v>10</v>
      </c>
      <c r="P56" s="32" t="s">
        <v>0</v>
      </c>
      <c r="Q56" s="139"/>
      <c r="R56" s="334"/>
      <c r="S56" s="133">
        <f>VLOOKUP($E56,R.VL_DEQResourcesInvolved,2,FALSE)</f>
        <v>0</v>
      </c>
      <c r="T56" s="121">
        <f>VLOOKUP($E56,R.VL_DEQResourcesInvolved,3,FALSE)</f>
        <v>0</v>
      </c>
      <c r="U56" s="121">
        <f>IF(S56=10,T56,VLOOKUP($E56,R.VL_DEQResourcesInvolved,4,FALSE))</f>
        <v>0</v>
      </c>
      <c r="V56" s="64"/>
      <c r="W56" s="64"/>
      <c r="X56" s="64"/>
      <c r="Y56" s="64"/>
      <c r="Z56" s="64"/>
      <c r="AA56" s="64"/>
      <c r="AB56" s="64"/>
      <c r="AC56" s="64"/>
      <c r="AD56" s="130"/>
      <c r="AE56" s="130"/>
      <c r="AF56" s="130"/>
    </row>
    <row r="57" spans="1:32" s="28" customFormat="1" ht="20.25" hidden="1" customHeight="1" outlineLevel="1">
      <c r="A57" s="320"/>
      <c r="B57" s="334"/>
      <c r="C57" s="138"/>
      <c r="D57" s="36" t="s">
        <v>0</v>
      </c>
      <c r="E57" s="30" t="s">
        <v>229</v>
      </c>
      <c r="F57" s="71">
        <v>1</v>
      </c>
      <c r="G57" s="72">
        <v>2</v>
      </c>
      <c r="H57" s="73">
        <v>3</v>
      </c>
      <c r="I57" s="74">
        <v>4</v>
      </c>
      <c r="J57" s="75">
        <v>5</v>
      </c>
      <c r="K57" s="76">
        <v>6</v>
      </c>
      <c r="L57" s="77">
        <v>7</v>
      </c>
      <c r="M57" s="78">
        <v>8</v>
      </c>
      <c r="N57" s="79">
        <v>9</v>
      </c>
      <c r="O57" s="80">
        <v>10</v>
      </c>
      <c r="P57" s="32" t="s">
        <v>0</v>
      </c>
      <c r="Q57" s="139"/>
      <c r="R57" s="334"/>
      <c r="S57" s="133">
        <f>VLOOKUP($E57,R.VL_DEQResourcesInvolved,2,FALSE)</f>
        <v>0</v>
      </c>
      <c r="T57" s="121">
        <f>VLOOKUP($E57,R.VL_DEQResourcesInvolved,3,FALSE)</f>
        <v>0</v>
      </c>
      <c r="U57" s="121">
        <f>IF(S57=10,T57,VLOOKUP($E57,R.VL_DEQResourcesInvolved,4,FALSE))</f>
        <v>0</v>
      </c>
      <c r="V57" s="64"/>
      <c r="W57" s="64"/>
      <c r="X57" s="64"/>
      <c r="Y57" s="64"/>
      <c r="Z57" s="64"/>
      <c r="AA57" s="64"/>
      <c r="AB57" s="64"/>
      <c r="AC57" s="64"/>
      <c r="AD57" s="130"/>
      <c r="AE57" s="130"/>
      <c r="AF57" s="130"/>
    </row>
    <row r="58" spans="1:32" s="28" customFormat="1" ht="14.25" customHeight="1" collapsed="1">
      <c r="A58" s="320"/>
      <c r="B58" s="334"/>
      <c r="C58" s="376"/>
      <c r="D58" s="481"/>
      <c r="E58" s="739"/>
      <c r="F58" s="739"/>
      <c r="G58" s="739"/>
      <c r="H58" s="739"/>
      <c r="I58" s="739"/>
      <c r="J58" s="739"/>
      <c r="K58" s="739"/>
      <c r="L58" s="739"/>
      <c r="M58" s="739"/>
      <c r="N58" s="739"/>
      <c r="O58" s="739"/>
      <c r="P58" s="739"/>
      <c r="Q58" s="379"/>
      <c r="R58" s="334"/>
      <c r="S58" s="132"/>
      <c r="T58" s="131"/>
      <c r="U58" s="131"/>
      <c r="V58" s="64"/>
      <c r="W58" s="64"/>
      <c r="X58" s="64"/>
      <c r="Y58" s="64"/>
      <c r="Z58" s="64"/>
      <c r="AA58" s="64"/>
      <c r="AB58" s="64"/>
      <c r="AC58" s="64"/>
      <c r="AD58" s="130"/>
      <c r="AE58" s="130"/>
      <c r="AF58" s="130"/>
    </row>
    <row r="59" spans="1:32" s="29" customFormat="1" ht="30" customHeight="1">
      <c r="A59" s="319"/>
      <c r="B59" s="334"/>
      <c r="C59" s="146"/>
      <c r="D59" s="644" t="str">
        <f>"Please suggest process improvements to the "&amp;D2&amp;" worksheet."</f>
        <v>Please suggest process improvements to the Communications and Outreach worksheet.</v>
      </c>
      <c r="E59" s="644"/>
      <c r="F59" s="644"/>
      <c r="G59" s="644"/>
      <c r="H59" s="644"/>
      <c r="I59" s="644"/>
      <c r="J59" s="644"/>
      <c r="K59" s="644"/>
      <c r="L59" s="644"/>
      <c r="M59" s="644"/>
      <c r="N59" s="92"/>
      <c r="O59" s="93"/>
      <c r="P59" s="39"/>
      <c r="Q59" s="147"/>
      <c r="R59" s="334"/>
      <c r="S59" s="134"/>
      <c r="T59" s="131"/>
      <c r="U59" s="131"/>
      <c r="V59" s="64"/>
      <c r="W59" s="64"/>
      <c r="X59" s="64"/>
      <c r="Y59" s="64"/>
      <c r="Z59" s="64"/>
      <c r="AA59" s="64"/>
      <c r="AB59" s="64"/>
      <c r="AC59" s="64"/>
      <c r="AD59" s="65"/>
      <c r="AE59" s="65"/>
      <c r="AF59" s="65"/>
    </row>
    <row r="60" spans="1:32" s="6" customFormat="1" ht="30.75" customHeight="1">
      <c r="A60" s="319"/>
      <c r="B60" s="334"/>
      <c r="C60" s="136"/>
      <c r="D60" s="641"/>
      <c r="E60" s="642"/>
      <c r="F60" s="642"/>
      <c r="G60" s="642"/>
      <c r="H60" s="642"/>
      <c r="I60" s="642"/>
      <c r="J60" s="642"/>
      <c r="K60" s="642"/>
      <c r="L60" s="642"/>
      <c r="M60" s="642"/>
      <c r="N60" s="642"/>
      <c r="O60" s="642"/>
      <c r="P60" s="643"/>
      <c r="Q60" s="148"/>
      <c r="R60" s="334"/>
      <c r="S60" s="132"/>
      <c r="T60" s="131"/>
      <c r="U60" s="131"/>
      <c r="V60" s="64"/>
      <c r="W60" s="64"/>
      <c r="X60" s="64"/>
      <c r="Y60" s="64"/>
      <c r="Z60" s="64"/>
      <c r="AA60" s="64"/>
      <c r="AB60" s="64"/>
      <c r="AC60" s="64"/>
      <c r="AD60" s="66"/>
      <c r="AE60" s="66"/>
      <c r="AF60" s="66"/>
    </row>
    <row r="61" spans="1:32" ht="18" customHeight="1">
      <c r="A61" s="350" t="s">
        <v>108</v>
      </c>
      <c r="B61" s="334"/>
      <c r="C61" s="149"/>
      <c r="D61" s="150"/>
      <c r="E61" s="150"/>
      <c r="F61" s="150"/>
      <c r="G61" s="150"/>
      <c r="H61" s="150"/>
      <c r="I61" s="150"/>
      <c r="J61" s="150"/>
      <c r="K61" s="150"/>
      <c r="L61" s="150"/>
      <c r="M61" s="150"/>
      <c r="N61" s="150"/>
      <c r="O61" s="150"/>
      <c r="P61" s="150"/>
      <c r="Q61" s="151"/>
      <c r="R61" s="334"/>
    </row>
    <row r="62" spans="1:32" s="64" customFormat="1" ht="14.25">
      <c r="A62" s="312"/>
      <c r="B62" s="334"/>
      <c r="C62" s="334"/>
      <c r="D62" s="334"/>
      <c r="E62" s="334"/>
      <c r="F62" s="334"/>
      <c r="G62" s="334"/>
      <c r="H62" s="334"/>
      <c r="I62" s="334"/>
      <c r="J62" s="334"/>
      <c r="K62" s="334"/>
      <c r="L62" s="334"/>
      <c r="M62" s="334"/>
      <c r="N62" s="334"/>
      <c r="O62" s="334"/>
      <c r="P62" s="334"/>
      <c r="Q62" s="334"/>
      <c r="R62" s="334"/>
      <c r="S62" s="113"/>
    </row>
    <row r="63" spans="1:32" s="64" customFormat="1">
      <c r="A63" s="312"/>
      <c r="C63" s="112"/>
      <c r="S63" s="113"/>
    </row>
    <row r="64" spans="1:32" s="64" customFormat="1">
      <c r="A64" s="312"/>
      <c r="C64" s="112"/>
      <c r="S64" s="113"/>
    </row>
    <row r="65" spans="1:19" s="64" customFormat="1">
      <c r="A65" s="312"/>
      <c r="C65" s="112"/>
      <c r="S65" s="113"/>
    </row>
    <row r="66" spans="1:19" s="64" customFormat="1">
      <c r="A66" s="312"/>
      <c r="C66" s="112"/>
      <c r="S66" s="113"/>
    </row>
    <row r="67" spans="1:19" s="64" customFormat="1">
      <c r="A67" s="312"/>
      <c r="C67" s="112"/>
      <c r="S67" s="113"/>
    </row>
    <row r="68" spans="1:19" s="64" customFormat="1">
      <c r="A68" s="312"/>
      <c r="C68" s="112"/>
      <c r="S68" s="113"/>
    </row>
    <row r="69" spans="1:19" s="64" customFormat="1">
      <c r="A69" s="312"/>
      <c r="C69" s="112"/>
      <c r="S69" s="113"/>
    </row>
    <row r="70" spans="1:19" s="64" customFormat="1">
      <c r="A70" s="312"/>
      <c r="C70" s="112"/>
      <c r="S70" s="113"/>
    </row>
  </sheetData>
  <sheetProtection sheet="1" scenarios="1" formatCells="0" formatRows="0" insertHyperlinks="0"/>
  <mergeCells count="23">
    <mergeCell ref="D7:P7"/>
    <mergeCell ref="D8:P8"/>
    <mergeCell ref="D9:P9"/>
    <mergeCell ref="E2:P2"/>
    <mergeCell ref="M3:P3"/>
    <mergeCell ref="F4:L4"/>
    <mergeCell ref="M4:P4"/>
    <mergeCell ref="F5:L5"/>
    <mergeCell ref="M5:P5"/>
    <mergeCell ref="S10:U10"/>
    <mergeCell ref="D13:P13"/>
    <mergeCell ref="F14:O14"/>
    <mergeCell ref="D20:P20"/>
    <mergeCell ref="E58:P58"/>
    <mergeCell ref="E26:P26"/>
    <mergeCell ref="D60:P60"/>
    <mergeCell ref="D29:P29"/>
    <mergeCell ref="D36:P36"/>
    <mergeCell ref="E42:P42"/>
    <mergeCell ref="D45:P45"/>
    <mergeCell ref="F46:O46"/>
    <mergeCell ref="D52:P52"/>
    <mergeCell ref="D59:M59"/>
  </mergeCells>
  <conditionalFormatting sqref="F61:O61 N59:O59 F15:O18 F31:O34 F38:O42 F22:O27 F47:O50 F54:O58">
    <cfRule type="colorScale" priority="268">
      <colorScale>
        <cfvo type="num" val="0"/>
        <cfvo type="num" val="5"/>
        <cfvo type="num" val="10"/>
        <color rgb="FF00B050"/>
        <color rgb="FFFFFF00"/>
        <color rgb="FFFF0000"/>
      </colorScale>
    </cfRule>
  </conditionalFormatting>
  <conditionalFormatting sqref="N26:N27 N59 N61">
    <cfRule type="expression" dxfId="2039" priority="267" stopIfTrue="1">
      <formula>IF($S26&lt;9,TRUE,)</formula>
    </cfRule>
  </conditionalFormatting>
  <conditionalFormatting sqref="M26:M27 M61">
    <cfRule type="expression" dxfId="2038" priority="266" stopIfTrue="1">
      <formula>IF($S26&lt;8,TRUE,)</formula>
    </cfRule>
  </conditionalFormatting>
  <conditionalFormatting sqref="L26:L27 L61">
    <cfRule type="expression" dxfId="2037" priority="265" stopIfTrue="1">
      <formula>IF($S26&lt;7,TRUE,)</formula>
    </cfRule>
  </conditionalFormatting>
  <conditionalFormatting sqref="K26:K27 K61">
    <cfRule type="expression" dxfId="2036" priority="264" stopIfTrue="1">
      <formula>IF($S26&lt;6,TRUE,)</formula>
    </cfRule>
  </conditionalFormatting>
  <conditionalFormatting sqref="J26:J27 J61">
    <cfRule type="expression" dxfId="2035" priority="263" stopIfTrue="1">
      <formula>IF($S26&lt;5,TRUE,)</formula>
    </cfRule>
  </conditionalFormatting>
  <conditionalFormatting sqref="I26:I27 I61">
    <cfRule type="expression" dxfId="2034" priority="262" stopIfTrue="1">
      <formula>IF($S26&lt;4,TRUE,)</formula>
    </cfRule>
  </conditionalFormatting>
  <conditionalFormatting sqref="H26:H27 H61">
    <cfRule type="expression" dxfId="2033" priority="261" stopIfTrue="1">
      <formula>IF($S26&lt;3,TRUE,)</formula>
    </cfRule>
  </conditionalFormatting>
  <conditionalFormatting sqref="G26:G27 G61">
    <cfRule type="expression" dxfId="2032" priority="260" stopIfTrue="1">
      <formula>IF($S26&lt;2,TRUE,)</formula>
    </cfRule>
  </conditionalFormatting>
  <conditionalFormatting sqref="F26:F27 F61">
    <cfRule type="expression" dxfId="2031" priority="259" stopIfTrue="1">
      <formula>IF($S26&lt;1,TRUE,)</formula>
    </cfRule>
  </conditionalFormatting>
  <conditionalFormatting sqref="O26:O27 O59 O61">
    <cfRule type="expression" dxfId="2030" priority="258" stopIfTrue="1">
      <formula>IF($S26&lt;10,TRUE,)</formula>
    </cfRule>
  </conditionalFormatting>
  <conditionalFormatting sqref="N15:N16">
    <cfRule type="expression" dxfId="2029" priority="256" stopIfTrue="1">
      <formula>IF($S15&lt;9,TRUE,)</formula>
    </cfRule>
  </conditionalFormatting>
  <conditionalFormatting sqref="M15:M16">
    <cfRule type="expression" dxfId="2028" priority="255" stopIfTrue="1">
      <formula>IF($S15&lt;8,TRUE,)</formula>
    </cfRule>
  </conditionalFormatting>
  <conditionalFormatting sqref="L15:L16">
    <cfRule type="expression" dxfId="2027" priority="254" stopIfTrue="1">
      <formula>IF($S15&lt;7,TRUE,)</formula>
    </cfRule>
  </conditionalFormatting>
  <conditionalFormatting sqref="K15:K16">
    <cfRule type="expression" dxfId="2026" priority="253" stopIfTrue="1">
      <formula>IF($S15&lt;6,TRUE,)</formula>
    </cfRule>
  </conditionalFormatting>
  <conditionalFormatting sqref="J15:J16">
    <cfRule type="expression" dxfId="2025" priority="252" stopIfTrue="1">
      <formula>IF($S15&lt;5,TRUE,)</formula>
    </cfRule>
  </conditionalFormatting>
  <conditionalFormatting sqref="I15:I16">
    <cfRule type="expression" dxfId="2024" priority="251" stopIfTrue="1">
      <formula>IF($S15&lt;4,TRUE,)</formula>
    </cfRule>
  </conditionalFormatting>
  <conditionalFormatting sqref="H15:H16">
    <cfRule type="expression" dxfId="2023" priority="250" stopIfTrue="1">
      <formula>IF($S15&lt;3,TRUE,)</formula>
    </cfRule>
  </conditionalFormatting>
  <conditionalFormatting sqref="G15:G16">
    <cfRule type="expression" dxfId="2022" priority="249" stopIfTrue="1">
      <formula>IF($S15&lt;2,TRUE,)</formula>
    </cfRule>
  </conditionalFormatting>
  <conditionalFormatting sqref="F15:F16">
    <cfRule type="expression" dxfId="2021" priority="248" stopIfTrue="1">
      <formula>IF($S15&lt;1,TRUE,)</formula>
    </cfRule>
  </conditionalFormatting>
  <conditionalFormatting sqref="O15:O16">
    <cfRule type="expression" dxfId="2020" priority="247" stopIfTrue="1">
      <formula>IF($S15&lt;10,TRUE,)</formula>
    </cfRule>
  </conditionalFormatting>
  <conditionalFormatting sqref="N24:N25">
    <cfRule type="expression" dxfId="2019" priority="245" stopIfTrue="1">
      <formula>IF($S24&lt;9,TRUE,)</formula>
    </cfRule>
  </conditionalFormatting>
  <conditionalFormatting sqref="M24:M25">
    <cfRule type="expression" dxfId="2018" priority="244" stopIfTrue="1">
      <formula>IF($S24&lt;8,TRUE,)</formula>
    </cfRule>
  </conditionalFormatting>
  <conditionalFormatting sqref="L24:L25">
    <cfRule type="expression" dxfId="2017" priority="243" stopIfTrue="1">
      <formula>IF($S24&lt;7,TRUE,)</formula>
    </cfRule>
  </conditionalFormatting>
  <conditionalFormatting sqref="K24:K25">
    <cfRule type="expression" dxfId="2016" priority="242" stopIfTrue="1">
      <formula>IF($S24&lt;6,TRUE,)</formula>
    </cfRule>
  </conditionalFormatting>
  <conditionalFormatting sqref="J24:J25">
    <cfRule type="expression" dxfId="2015" priority="241" stopIfTrue="1">
      <formula>IF($S24&lt;5,TRUE,)</formula>
    </cfRule>
  </conditionalFormatting>
  <conditionalFormatting sqref="I24:I25">
    <cfRule type="expression" dxfId="2014" priority="240" stopIfTrue="1">
      <formula>IF($S24&lt;4,TRUE,)</formula>
    </cfRule>
  </conditionalFormatting>
  <conditionalFormatting sqref="H24:H25">
    <cfRule type="expression" dxfId="2013" priority="239" stopIfTrue="1">
      <formula>IF($S24&lt;3,TRUE,)</formula>
    </cfRule>
  </conditionalFormatting>
  <conditionalFormatting sqref="G24:G25">
    <cfRule type="expression" dxfId="2012" priority="238" stopIfTrue="1">
      <formula>IF($S24&lt;2,TRUE,)</formula>
    </cfRule>
  </conditionalFormatting>
  <conditionalFormatting sqref="F24:F25">
    <cfRule type="expression" dxfId="2011" priority="237" stopIfTrue="1">
      <formula>IF($S24&lt;1,TRUE,)</formula>
    </cfRule>
  </conditionalFormatting>
  <conditionalFormatting sqref="O24:O25">
    <cfRule type="expression" dxfId="2010" priority="236" stopIfTrue="1">
      <formula>IF($S24&lt;10,TRUE,)</formula>
    </cfRule>
  </conditionalFormatting>
  <conditionalFormatting sqref="N42">
    <cfRule type="expression" dxfId="2009" priority="234" stopIfTrue="1">
      <formula>IF($S42&lt;9,TRUE,)</formula>
    </cfRule>
  </conditionalFormatting>
  <conditionalFormatting sqref="M42">
    <cfRule type="expression" dxfId="2008" priority="233" stopIfTrue="1">
      <formula>IF($S42&lt;8,TRUE,)</formula>
    </cfRule>
  </conditionalFormatting>
  <conditionalFormatting sqref="L42">
    <cfRule type="expression" dxfId="2007" priority="232" stopIfTrue="1">
      <formula>IF($S42&lt;7,TRUE,)</formula>
    </cfRule>
  </conditionalFormatting>
  <conditionalFormatting sqref="K42">
    <cfRule type="expression" dxfId="2006" priority="231" stopIfTrue="1">
      <formula>IF($S42&lt;6,TRUE,)</formula>
    </cfRule>
  </conditionalFormatting>
  <conditionalFormatting sqref="J42">
    <cfRule type="expression" dxfId="2005" priority="230" stopIfTrue="1">
      <formula>IF($S42&lt;5,TRUE,)</formula>
    </cfRule>
  </conditionalFormatting>
  <conditionalFormatting sqref="I42">
    <cfRule type="expression" dxfId="2004" priority="229" stopIfTrue="1">
      <formula>IF($S42&lt;4,TRUE,)</formula>
    </cfRule>
  </conditionalFormatting>
  <conditionalFormatting sqref="H42">
    <cfRule type="expression" dxfId="2003" priority="228" stopIfTrue="1">
      <formula>IF($S42&lt;3,TRUE,)</formula>
    </cfRule>
  </conditionalFormatting>
  <conditionalFormatting sqref="G42">
    <cfRule type="expression" dxfId="2002" priority="227" stopIfTrue="1">
      <formula>IF($S42&lt;2,TRUE,)</formula>
    </cfRule>
  </conditionalFormatting>
  <conditionalFormatting sqref="F42">
    <cfRule type="expression" dxfId="2001" priority="226" stopIfTrue="1">
      <formula>IF($S42&lt;1,TRUE,)</formula>
    </cfRule>
  </conditionalFormatting>
  <conditionalFormatting sqref="O42">
    <cfRule type="expression" dxfId="2000" priority="225" stopIfTrue="1">
      <formula>IF($S42&lt;10,TRUE,)</formula>
    </cfRule>
  </conditionalFormatting>
  <conditionalFormatting sqref="N31:N32">
    <cfRule type="expression" dxfId="1999" priority="223" stopIfTrue="1">
      <formula>IF($S31&lt;9,TRUE,)</formula>
    </cfRule>
  </conditionalFormatting>
  <conditionalFormatting sqref="M31:M32">
    <cfRule type="expression" dxfId="1998" priority="222" stopIfTrue="1">
      <formula>IF($S31&lt;8,TRUE,)</formula>
    </cfRule>
  </conditionalFormatting>
  <conditionalFormatting sqref="L31:L32">
    <cfRule type="expression" dxfId="1997" priority="221" stopIfTrue="1">
      <formula>IF($S31&lt;7,TRUE,)</formula>
    </cfRule>
  </conditionalFormatting>
  <conditionalFormatting sqref="K31:K32">
    <cfRule type="expression" dxfId="1996" priority="220" stopIfTrue="1">
      <formula>IF($S31&lt;6,TRUE,)</formula>
    </cfRule>
  </conditionalFormatting>
  <conditionalFormatting sqref="J31:J32">
    <cfRule type="expression" dxfId="1995" priority="219" stopIfTrue="1">
      <formula>IF($S31&lt;5,TRUE,)</formula>
    </cfRule>
  </conditionalFormatting>
  <conditionalFormatting sqref="I31:I32">
    <cfRule type="expression" dxfId="1994" priority="218" stopIfTrue="1">
      <formula>IF($S31&lt;4,TRUE,)</formula>
    </cfRule>
  </conditionalFormatting>
  <conditionalFormatting sqref="H31:H32">
    <cfRule type="expression" dxfId="1993" priority="217" stopIfTrue="1">
      <formula>IF($S31&lt;3,TRUE,)</formula>
    </cfRule>
  </conditionalFormatting>
  <conditionalFormatting sqref="G31:G32">
    <cfRule type="expression" dxfId="1992" priority="216" stopIfTrue="1">
      <formula>IF($S31&lt;2,TRUE,)</formula>
    </cfRule>
  </conditionalFormatting>
  <conditionalFormatting sqref="F31:F32">
    <cfRule type="expression" dxfId="1991" priority="215" stopIfTrue="1">
      <formula>IF($S31&lt;1,TRUE,)</formula>
    </cfRule>
  </conditionalFormatting>
  <conditionalFormatting sqref="O31:O32">
    <cfRule type="expression" dxfId="1990" priority="214" stopIfTrue="1">
      <formula>IF($S31&lt;10,TRUE,)</formula>
    </cfRule>
  </conditionalFormatting>
  <conditionalFormatting sqref="N38:N39">
    <cfRule type="expression" dxfId="1989" priority="212" stopIfTrue="1">
      <formula>IF($S38&lt;9,TRUE,)</formula>
    </cfRule>
  </conditionalFormatting>
  <conditionalFormatting sqref="M38:M39">
    <cfRule type="expression" dxfId="1988" priority="211" stopIfTrue="1">
      <formula>IF($S38&lt;8,TRUE,)</formula>
    </cfRule>
  </conditionalFormatting>
  <conditionalFormatting sqref="L38:L39">
    <cfRule type="expression" dxfId="1987" priority="210" stopIfTrue="1">
      <formula>IF($S38&lt;7,TRUE,)</formula>
    </cfRule>
  </conditionalFormatting>
  <conditionalFormatting sqref="K38:K39">
    <cfRule type="expression" dxfId="1986" priority="209" stopIfTrue="1">
      <formula>IF($S38&lt;6,TRUE,)</formula>
    </cfRule>
  </conditionalFormatting>
  <conditionalFormatting sqref="J38:J39">
    <cfRule type="expression" dxfId="1985" priority="208" stopIfTrue="1">
      <formula>IF($S38&lt;5,TRUE,)</formula>
    </cfRule>
  </conditionalFormatting>
  <conditionalFormatting sqref="I38:I39">
    <cfRule type="expression" dxfId="1984" priority="207" stopIfTrue="1">
      <formula>IF($S38&lt;4,TRUE,)</formula>
    </cfRule>
  </conditionalFormatting>
  <conditionalFormatting sqref="H38:H39">
    <cfRule type="expression" dxfId="1983" priority="206" stopIfTrue="1">
      <formula>IF($S38&lt;3,TRUE,)</formula>
    </cfRule>
  </conditionalFormatting>
  <conditionalFormatting sqref="G38:G39">
    <cfRule type="expression" dxfId="1982" priority="205" stopIfTrue="1">
      <formula>IF($S38&lt;2,TRUE,)</formula>
    </cfRule>
  </conditionalFormatting>
  <conditionalFormatting sqref="F38:F39">
    <cfRule type="expression" dxfId="1981" priority="204" stopIfTrue="1">
      <formula>IF($S38&lt;1,TRUE,)</formula>
    </cfRule>
  </conditionalFormatting>
  <conditionalFormatting sqref="O38:O39">
    <cfRule type="expression" dxfId="1980" priority="203" stopIfTrue="1">
      <formula>IF($S38&lt;10,TRUE,)</formula>
    </cfRule>
  </conditionalFormatting>
  <conditionalFormatting sqref="N17:N18">
    <cfRule type="expression" dxfId="1979" priority="201" stopIfTrue="1">
      <formula>IF($S17&lt;9,TRUE,)</formula>
    </cfRule>
  </conditionalFormatting>
  <conditionalFormatting sqref="M17:M18">
    <cfRule type="expression" dxfId="1978" priority="200" stopIfTrue="1">
      <formula>IF($S17&lt;8,TRUE,)</formula>
    </cfRule>
  </conditionalFormatting>
  <conditionalFormatting sqref="L17:L18">
    <cfRule type="expression" dxfId="1977" priority="199" stopIfTrue="1">
      <formula>IF($S17&lt;7,TRUE,)</formula>
    </cfRule>
  </conditionalFormatting>
  <conditionalFormatting sqref="K17:K18">
    <cfRule type="expression" dxfId="1976" priority="198" stopIfTrue="1">
      <formula>IF($S17&lt;6,TRUE,)</formula>
    </cfRule>
  </conditionalFormatting>
  <conditionalFormatting sqref="J17:J18">
    <cfRule type="expression" dxfId="1975" priority="197" stopIfTrue="1">
      <formula>IF($S17&lt;5,TRUE,)</formula>
    </cfRule>
  </conditionalFormatting>
  <conditionalFormatting sqref="I17:I18">
    <cfRule type="expression" dxfId="1974" priority="196" stopIfTrue="1">
      <formula>IF($S17&lt;4,TRUE,)</formula>
    </cfRule>
  </conditionalFormatting>
  <conditionalFormatting sqref="H17:H18">
    <cfRule type="expression" dxfId="1973" priority="195" stopIfTrue="1">
      <formula>IF($S17&lt;3,TRUE,)</formula>
    </cfRule>
  </conditionalFormatting>
  <conditionalFormatting sqref="G17:G18">
    <cfRule type="expression" dxfId="1972" priority="194" stopIfTrue="1">
      <formula>IF($S17&lt;2,TRUE,)</formula>
    </cfRule>
  </conditionalFormatting>
  <conditionalFormatting sqref="F17:F18">
    <cfRule type="expression" dxfId="1971" priority="193" stopIfTrue="1">
      <formula>IF($S17&lt;1,TRUE,)</formula>
    </cfRule>
  </conditionalFormatting>
  <conditionalFormatting sqref="O17:O18">
    <cfRule type="expression" dxfId="1970" priority="192" stopIfTrue="1">
      <formula>IF($S17&lt;10,TRUE,)</formula>
    </cfRule>
  </conditionalFormatting>
  <conditionalFormatting sqref="N33:N34">
    <cfRule type="expression" dxfId="1969" priority="179" stopIfTrue="1">
      <formula>IF($S33&lt;9,TRUE,)</formula>
    </cfRule>
  </conditionalFormatting>
  <conditionalFormatting sqref="M33:M34">
    <cfRule type="expression" dxfId="1968" priority="178" stopIfTrue="1">
      <formula>IF($S33&lt;8,TRUE,)</formula>
    </cfRule>
  </conditionalFormatting>
  <conditionalFormatting sqref="L33:L34">
    <cfRule type="expression" dxfId="1967" priority="177" stopIfTrue="1">
      <formula>IF($S33&lt;7,TRUE,)</formula>
    </cfRule>
  </conditionalFormatting>
  <conditionalFormatting sqref="K33:K34">
    <cfRule type="expression" dxfId="1966" priority="176" stopIfTrue="1">
      <formula>IF($S33&lt;6,TRUE,)</formula>
    </cfRule>
  </conditionalFormatting>
  <conditionalFormatting sqref="J33:J34">
    <cfRule type="expression" dxfId="1965" priority="175" stopIfTrue="1">
      <formula>IF($S33&lt;5,TRUE,)</formula>
    </cfRule>
  </conditionalFormatting>
  <conditionalFormatting sqref="I33:I34">
    <cfRule type="expression" dxfId="1964" priority="174" stopIfTrue="1">
      <formula>IF($S33&lt;4,TRUE,)</formula>
    </cfRule>
  </conditionalFormatting>
  <conditionalFormatting sqref="H33:H34">
    <cfRule type="expression" dxfId="1963" priority="173" stopIfTrue="1">
      <formula>IF($S33&lt;3,TRUE,)</formula>
    </cfRule>
  </conditionalFormatting>
  <conditionalFormatting sqref="G33:G34">
    <cfRule type="expression" dxfId="1962" priority="172" stopIfTrue="1">
      <formula>IF($S33&lt;2,TRUE,)</formula>
    </cfRule>
  </conditionalFormatting>
  <conditionalFormatting sqref="F33:F34">
    <cfRule type="expression" dxfId="1961" priority="171" stopIfTrue="1">
      <formula>IF($S33&lt;1,TRUE,)</formula>
    </cfRule>
  </conditionalFormatting>
  <conditionalFormatting sqref="O33:O34">
    <cfRule type="expression" dxfId="1960" priority="170" stopIfTrue="1">
      <formula>IF($S33&lt;10,TRUE,)</formula>
    </cfRule>
  </conditionalFormatting>
  <conditionalFormatting sqref="N40:N41">
    <cfRule type="expression" dxfId="1959" priority="168" stopIfTrue="1">
      <formula>IF($S40&lt;9,TRUE,)</formula>
    </cfRule>
  </conditionalFormatting>
  <conditionalFormatting sqref="M40:M41">
    <cfRule type="expression" dxfId="1958" priority="167" stopIfTrue="1">
      <formula>IF($S40&lt;8,TRUE,)</formula>
    </cfRule>
  </conditionalFormatting>
  <conditionalFormatting sqref="L40:L41">
    <cfRule type="expression" dxfId="1957" priority="166" stopIfTrue="1">
      <formula>IF($S40&lt;7,TRUE,)</formula>
    </cfRule>
  </conditionalFormatting>
  <conditionalFormatting sqref="K40:K41">
    <cfRule type="expression" dxfId="1956" priority="165" stopIfTrue="1">
      <formula>IF($S40&lt;6,TRUE,)</formula>
    </cfRule>
  </conditionalFormatting>
  <conditionalFormatting sqref="J40:J41">
    <cfRule type="expression" dxfId="1955" priority="164" stopIfTrue="1">
      <formula>IF($S40&lt;5,TRUE,)</formula>
    </cfRule>
  </conditionalFormatting>
  <conditionalFormatting sqref="I40:I41">
    <cfRule type="expression" dxfId="1954" priority="163" stopIfTrue="1">
      <formula>IF($S40&lt;4,TRUE,)</formula>
    </cfRule>
  </conditionalFormatting>
  <conditionalFormatting sqref="H40:H41">
    <cfRule type="expression" dxfId="1953" priority="162" stopIfTrue="1">
      <formula>IF($S40&lt;3,TRUE,)</formula>
    </cfRule>
  </conditionalFormatting>
  <conditionalFormatting sqref="G40:G41">
    <cfRule type="expression" dxfId="1952" priority="161" stopIfTrue="1">
      <formula>IF($S40&lt;2,TRUE,)</formula>
    </cfRule>
  </conditionalFormatting>
  <conditionalFormatting sqref="F40:F41">
    <cfRule type="expression" dxfId="1951" priority="160" stopIfTrue="1">
      <formula>IF($S40&lt;1,TRUE,)</formula>
    </cfRule>
  </conditionalFormatting>
  <conditionalFormatting sqref="O40:O41">
    <cfRule type="expression" dxfId="1950" priority="159" stopIfTrue="1">
      <formula>IF($S40&lt;10,TRUE,)</formula>
    </cfRule>
  </conditionalFormatting>
  <conditionalFormatting sqref="N58">
    <cfRule type="expression" dxfId="1949" priority="157" stopIfTrue="1">
      <formula>IF($S58&lt;9,TRUE,)</formula>
    </cfRule>
  </conditionalFormatting>
  <conditionalFormatting sqref="M58">
    <cfRule type="expression" dxfId="1948" priority="156" stopIfTrue="1">
      <formula>IF($S58&lt;8,TRUE,)</formula>
    </cfRule>
  </conditionalFormatting>
  <conditionalFormatting sqref="L58">
    <cfRule type="expression" dxfId="1947" priority="155" stopIfTrue="1">
      <formula>IF($S58&lt;7,TRUE,)</formula>
    </cfRule>
  </conditionalFormatting>
  <conditionalFormatting sqref="K58">
    <cfRule type="expression" dxfId="1946" priority="154" stopIfTrue="1">
      <formula>IF($S58&lt;6,TRUE,)</formula>
    </cfRule>
  </conditionalFormatting>
  <conditionalFormatting sqref="J58">
    <cfRule type="expression" dxfId="1945" priority="153" stopIfTrue="1">
      <formula>IF($S58&lt;5,TRUE,)</formula>
    </cfRule>
  </conditionalFormatting>
  <conditionalFormatting sqref="I58">
    <cfRule type="expression" dxfId="1944" priority="152" stopIfTrue="1">
      <formula>IF($S58&lt;4,TRUE,)</formula>
    </cfRule>
  </conditionalFormatting>
  <conditionalFormatting sqref="H58">
    <cfRule type="expression" dxfId="1943" priority="151" stopIfTrue="1">
      <formula>IF($S58&lt;3,TRUE,)</formula>
    </cfRule>
  </conditionalFormatting>
  <conditionalFormatting sqref="G58">
    <cfRule type="expression" dxfId="1942" priority="150" stopIfTrue="1">
      <formula>IF($S58&lt;2,TRUE,)</formula>
    </cfRule>
  </conditionalFormatting>
  <conditionalFormatting sqref="F58">
    <cfRule type="expression" dxfId="1941" priority="149" stopIfTrue="1">
      <formula>IF($S58&lt;1,TRUE,)</formula>
    </cfRule>
  </conditionalFormatting>
  <conditionalFormatting sqref="O58">
    <cfRule type="expression" dxfId="1940" priority="148" stopIfTrue="1">
      <formula>IF($S58&lt;10,TRUE,)</formula>
    </cfRule>
  </conditionalFormatting>
  <conditionalFormatting sqref="N47:N48">
    <cfRule type="expression" dxfId="1939" priority="146" stopIfTrue="1">
      <formula>IF($S47&lt;9,TRUE,)</formula>
    </cfRule>
  </conditionalFormatting>
  <conditionalFormatting sqref="M47:M48">
    <cfRule type="expression" dxfId="1938" priority="145" stopIfTrue="1">
      <formula>IF($S47&lt;8,TRUE,)</formula>
    </cfRule>
  </conditionalFormatting>
  <conditionalFormatting sqref="L47:L48">
    <cfRule type="expression" dxfId="1937" priority="144" stopIfTrue="1">
      <formula>IF($S47&lt;7,TRUE,)</formula>
    </cfRule>
  </conditionalFormatting>
  <conditionalFormatting sqref="K47:K48">
    <cfRule type="expression" dxfId="1936" priority="143" stopIfTrue="1">
      <formula>IF($S47&lt;6,TRUE,)</formula>
    </cfRule>
  </conditionalFormatting>
  <conditionalFormatting sqref="J47:J48">
    <cfRule type="expression" dxfId="1935" priority="142" stopIfTrue="1">
      <formula>IF($S47&lt;5,TRUE,)</formula>
    </cfRule>
  </conditionalFormatting>
  <conditionalFormatting sqref="I47:I48">
    <cfRule type="expression" dxfId="1934" priority="141" stopIfTrue="1">
      <formula>IF($S47&lt;4,TRUE,)</formula>
    </cfRule>
  </conditionalFormatting>
  <conditionalFormatting sqref="H47:H48">
    <cfRule type="expression" dxfId="1933" priority="140" stopIfTrue="1">
      <formula>IF($S47&lt;3,TRUE,)</formula>
    </cfRule>
  </conditionalFormatting>
  <conditionalFormatting sqref="G47:G48">
    <cfRule type="expression" dxfId="1932" priority="139" stopIfTrue="1">
      <formula>IF($S47&lt;2,TRUE,)</formula>
    </cfRule>
  </conditionalFormatting>
  <conditionalFormatting sqref="F47:F48">
    <cfRule type="expression" dxfId="1931" priority="138" stopIfTrue="1">
      <formula>IF($S47&lt;1,TRUE,)</formula>
    </cfRule>
  </conditionalFormatting>
  <conditionalFormatting sqref="O47:O48">
    <cfRule type="expression" dxfId="1930" priority="137" stopIfTrue="1">
      <formula>IF($S47&lt;10,TRUE,)</formula>
    </cfRule>
  </conditionalFormatting>
  <conditionalFormatting sqref="N54:N55">
    <cfRule type="expression" dxfId="1929" priority="135" stopIfTrue="1">
      <formula>IF($S54&lt;9,TRUE,)</formula>
    </cfRule>
  </conditionalFormatting>
  <conditionalFormatting sqref="M54:M55">
    <cfRule type="expression" dxfId="1928" priority="134" stopIfTrue="1">
      <formula>IF($S54&lt;8,TRUE,)</formula>
    </cfRule>
  </conditionalFormatting>
  <conditionalFormatting sqref="L54:L55">
    <cfRule type="expression" dxfId="1927" priority="133" stopIfTrue="1">
      <formula>IF($S54&lt;7,TRUE,)</formula>
    </cfRule>
  </conditionalFormatting>
  <conditionalFormatting sqref="K54:K55">
    <cfRule type="expression" dxfId="1926" priority="132" stopIfTrue="1">
      <formula>IF($S54&lt;6,TRUE,)</formula>
    </cfRule>
  </conditionalFormatting>
  <conditionalFormatting sqref="J54:J55">
    <cfRule type="expression" dxfId="1925" priority="131" stopIfTrue="1">
      <formula>IF($S54&lt;5,TRUE,)</formula>
    </cfRule>
  </conditionalFormatting>
  <conditionalFormatting sqref="I54:I55">
    <cfRule type="expression" dxfId="1924" priority="130" stopIfTrue="1">
      <formula>IF($S54&lt;4,TRUE,)</formula>
    </cfRule>
  </conditionalFormatting>
  <conditionalFormatting sqref="H54:H55">
    <cfRule type="expression" dxfId="1923" priority="129" stopIfTrue="1">
      <formula>IF($S54&lt;3,TRUE,)</formula>
    </cfRule>
  </conditionalFormatting>
  <conditionalFormatting sqref="G54:G55">
    <cfRule type="expression" dxfId="1922" priority="128" stopIfTrue="1">
      <formula>IF($S54&lt;2,TRUE,)</formula>
    </cfRule>
  </conditionalFormatting>
  <conditionalFormatting sqref="F54:F55">
    <cfRule type="expression" dxfId="1921" priority="127" stopIfTrue="1">
      <formula>IF($S54&lt;1,TRUE,)</formula>
    </cfRule>
  </conditionalFormatting>
  <conditionalFormatting sqref="O54:O55">
    <cfRule type="expression" dxfId="1920" priority="126" stopIfTrue="1">
      <formula>IF($S54&lt;10,TRUE,)</formula>
    </cfRule>
  </conditionalFormatting>
  <conditionalFormatting sqref="N49:N50">
    <cfRule type="expression" dxfId="1919" priority="124" stopIfTrue="1">
      <formula>IF($S49&lt;9,TRUE,)</formula>
    </cfRule>
  </conditionalFormatting>
  <conditionalFormatting sqref="M49:M50">
    <cfRule type="expression" dxfId="1918" priority="123" stopIfTrue="1">
      <formula>IF($S49&lt;8,TRUE,)</formula>
    </cfRule>
  </conditionalFormatting>
  <conditionalFormatting sqref="L49:L50">
    <cfRule type="expression" dxfId="1917" priority="122" stopIfTrue="1">
      <formula>IF($S49&lt;7,TRUE,)</formula>
    </cfRule>
  </conditionalFormatting>
  <conditionalFormatting sqref="K49:K50">
    <cfRule type="expression" dxfId="1916" priority="121" stopIfTrue="1">
      <formula>IF($S49&lt;6,TRUE,)</formula>
    </cfRule>
  </conditionalFormatting>
  <conditionalFormatting sqref="J49:J50">
    <cfRule type="expression" dxfId="1915" priority="120" stopIfTrue="1">
      <formula>IF($S49&lt;5,TRUE,)</formula>
    </cfRule>
  </conditionalFormatting>
  <conditionalFormatting sqref="I49:I50">
    <cfRule type="expression" dxfId="1914" priority="119" stopIfTrue="1">
      <formula>IF($S49&lt;4,TRUE,)</formula>
    </cfRule>
  </conditionalFormatting>
  <conditionalFormatting sqref="H49:H50">
    <cfRule type="expression" dxfId="1913" priority="118" stopIfTrue="1">
      <formula>IF($S49&lt;3,TRUE,)</formula>
    </cfRule>
  </conditionalFormatting>
  <conditionalFormatting sqref="G49:G50">
    <cfRule type="expression" dxfId="1912" priority="117" stopIfTrue="1">
      <formula>IF($S49&lt;2,TRUE,)</formula>
    </cfRule>
  </conditionalFormatting>
  <conditionalFormatting sqref="F49:F50">
    <cfRule type="expression" dxfId="1911" priority="116" stopIfTrue="1">
      <formula>IF($S49&lt;1,TRUE,)</formula>
    </cfRule>
  </conditionalFormatting>
  <conditionalFormatting sqref="O49:O50">
    <cfRule type="expression" dxfId="1910" priority="115" stopIfTrue="1">
      <formula>IF($S49&lt;10,TRUE,)</formula>
    </cfRule>
  </conditionalFormatting>
  <conditionalFormatting sqref="N56:N57">
    <cfRule type="expression" dxfId="1909" priority="113" stopIfTrue="1">
      <formula>IF($S56&lt;9,TRUE,)</formula>
    </cfRule>
  </conditionalFormatting>
  <conditionalFormatting sqref="M56:M57">
    <cfRule type="expression" dxfId="1908" priority="112" stopIfTrue="1">
      <formula>IF($S56&lt;8,TRUE,)</formula>
    </cfRule>
  </conditionalFormatting>
  <conditionalFormatting sqref="L56:L57">
    <cfRule type="expression" dxfId="1907" priority="111" stopIfTrue="1">
      <formula>IF($S56&lt;7,TRUE,)</formula>
    </cfRule>
  </conditionalFormatting>
  <conditionalFormatting sqref="K56:K57">
    <cfRule type="expression" dxfId="1906" priority="110" stopIfTrue="1">
      <formula>IF($S56&lt;6,TRUE,)</formula>
    </cfRule>
  </conditionalFormatting>
  <conditionalFormatting sqref="J56:J57">
    <cfRule type="expression" dxfId="1905" priority="109" stopIfTrue="1">
      <formula>IF($S56&lt;5,TRUE,)</formula>
    </cfRule>
  </conditionalFormatting>
  <conditionalFormatting sqref="I56:I57">
    <cfRule type="expression" dxfId="1904" priority="108" stopIfTrue="1">
      <formula>IF($S56&lt;4,TRUE,)</formula>
    </cfRule>
  </conditionalFormatting>
  <conditionalFormatting sqref="H56:H57">
    <cfRule type="expression" dxfId="1903" priority="107" stopIfTrue="1">
      <formula>IF($S56&lt;3,TRUE,)</formula>
    </cfRule>
  </conditionalFormatting>
  <conditionalFormatting sqref="G56:G57">
    <cfRule type="expression" dxfId="1902" priority="106" stopIfTrue="1">
      <formula>IF($S56&lt;2,TRUE,)</formula>
    </cfRule>
  </conditionalFormatting>
  <conditionalFormatting sqref="F56:F57">
    <cfRule type="expression" dxfId="1901" priority="105" stopIfTrue="1">
      <formula>IF($S56&lt;1,TRUE,)</formula>
    </cfRule>
  </conditionalFormatting>
  <conditionalFormatting sqref="O56:O57">
    <cfRule type="expression" dxfId="1900" priority="104" stopIfTrue="1">
      <formula>IF($S56&lt;10,TRUE,)</formula>
    </cfRule>
  </conditionalFormatting>
  <conditionalFormatting sqref="N26">
    <cfRule type="expression" dxfId="1899" priority="102" stopIfTrue="1">
      <formula>IF($S26&lt;9,TRUE,)</formula>
    </cfRule>
  </conditionalFormatting>
  <conditionalFormatting sqref="M26">
    <cfRule type="expression" dxfId="1898" priority="101" stopIfTrue="1">
      <formula>IF($S26&lt;8,TRUE,)</formula>
    </cfRule>
  </conditionalFormatting>
  <conditionalFormatting sqref="L26">
    <cfRule type="expression" dxfId="1897" priority="100" stopIfTrue="1">
      <formula>IF($S26&lt;7,TRUE,)</formula>
    </cfRule>
  </conditionalFormatting>
  <conditionalFormatting sqref="K26">
    <cfRule type="expression" dxfId="1896" priority="99" stopIfTrue="1">
      <formula>IF($S26&lt;6,TRUE,)</formula>
    </cfRule>
  </conditionalFormatting>
  <conditionalFormatting sqref="J26">
    <cfRule type="expression" dxfId="1895" priority="98" stopIfTrue="1">
      <formula>IF($S26&lt;5,TRUE,)</formula>
    </cfRule>
  </conditionalFormatting>
  <conditionalFormatting sqref="I26">
    <cfRule type="expression" dxfId="1894" priority="97" stopIfTrue="1">
      <formula>IF($S26&lt;4,TRUE,)</formula>
    </cfRule>
  </conditionalFormatting>
  <conditionalFormatting sqref="H26">
    <cfRule type="expression" dxfId="1893" priority="96" stopIfTrue="1">
      <formula>IF($S26&lt;3,TRUE,)</formula>
    </cfRule>
  </conditionalFormatting>
  <conditionalFormatting sqref="G26">
    <cfRule type="expression" dxfId="1892" priority="95" stopIfTrue="1">
      <formula>IF($S26&lt;2,TRUE,)</formula>
    </cfRule>
  </conditionalFormatting>
  <conditionalFormatting sqref="F26">
    <cfRule type="expression" dxfId="1891" priority="94" stopIfTrue="1">
      <formula>IF($S26&lt;1,TRUE,)</formula>
    </cfRule>
  </conditionalFormatting>
  <conditionalFormatting sqref="O26">
    <cfRule type="expression" dxfId="1890" priority="93" stopIfTrue="1">
      <formula>IF($S26&lt;10,TRUE,)</formula>
    </cfRule>
  </conditionalFormatting>
  <conditionalFormatting sqref="N22:N23">
    <cfRule type="expression" dxfId="1889" priority="91" stopIfTrue="1">
      <formula>IF($S22&lt;9,TRUE,)</formula>
    </cfRule>
  </conditionalFormatting>
  <conditionalFormatting sqref="M22:M23">
    <cfRule type="expression" dxfId="1888" priority="90" stopIfTrue="1">
      <formula>IF($S22&lt;8,TRUE,)</formula>
    </cfRule>
  </conditionalFormatting>
  <conditionalFormatting sqref="L22:L23">
    <cfRule type="expression" dxfId="1887" priority="89" stopIfTrue="1">
      <formula>IF($S22&lt;7,TRUE,)</formula>
    </cfRule>
  </conditionalFormatting>
  <conditionalFormatting sqref="K22:K23">
    <cfRule type="expression" dxfId="1886" priority="88" stopIfTrue="1">
      <formula>IF($S22&lt;6,TRUE,)</formula>
    </cfRule>
  </conditionalFormatting>
  <conditionalFormatting sqref="J22:J23">
    <cfRule type="expression" dxfId="1885" priority="87" stopIfTrue="1">
      <formula>IF($S22&lt;5,TRUE,)</formula>
    </cfRule>
  </conditionalFormatting>
  <conditionalFormatting sqref="I22:I23">
    <cfRule type="expression" dxfId="1884" priority="86" stopIfTrue="1">
      <formula>IF($S22&lt;4,TRUE,)</formula>
    </cfRule>
  </conditionalFormatting>
  <conditionalFormatting sqref="H22:H23">
    <cfRule type="expression" dxfId="1883" priority="85" stopIfTrue="1">
      <formula>IF($S22&lt;3,TRUE,)</formula>
    </cfRule>
  </conditionalFormatting>
  <conditionalFormatting sqref="G22:G23">
    <cfRule type="expression" dxfId="1882" priority="84" stopIfTrue="1">
      <formula>IF($S22&lt;2,TRUE,)</formula>
    </cfRule>
  </conditionalFormatting>
  <conditionalFormatting sqref="F22:F23">
    <cfRule type="expression" dxfId="1881" priority="83" stopIfTrue="1">
      <formula>IF($S22&lt;1,TRUE,)</formula>
    </cfRule>
  </conditionalFormatting>
  <conditionalFormatting sqref="O22:O23">
    <cfRule type="expression" dxfId="1880" priority="82" stopIfTrue="1">
      <formula>IF($S22&lt;10,TRUE,)</formula>
    </cfRule>
  </conditionalFormatting>
  <conditionalFormatting sqref="N23">
    <cfRule type="expression" dxfId="1879" priority="80" stopIfTrue="1">
      <formula>IF($S23&lt;9,TRUE,)</formula>
    </cfRule>
  </conditionalFormatting>
  <conditionalFormatting sqref="M23">
    <cfRule type="expression" dxfId="1878" priority="79" stopIfTrue="1">
      <formula>IF($S23&lt;8,TRUE,)</formula>
    </cfRule>
  </conditionalFormatting>
  <conditionalFormatting sqref="L23">
    <cfRule type="expression" dxfId="1877" priority="78" stopIfTrue="1">
      <formula>IF($S23&lt;7,TRUE,)</formula>
    </cfRule>
  </conditionalFormatting>
  <conditionalFormatting sqref="K23">
    <cfRule type="expression" dxfId="1876" priority="77" stopIfTrue="1">
      <formula>IF($S23&lt;6,TRUE,)</formula>
    </cfRule>
  </conditionalFormatting>
  <conditionalFormatting sqref="J23">
    <cfRule type="expression" dxfId="1875" priority="76" stopIfTrue="1">
      <formula>IF($S23&lt;5,TRUE,)</formula>
    </cfRule>
  </conditionalFormatting>
  <conditionalFormatting sqref="I23">
    <cfRule type="expression" dxfId="1874" priority="75" stopIfTrue="1">
      <formula>IF($S23&lt;4,TRUE,)</formula>
    </cfRule>
  </conditionalFormatting>
  <conditionalFormatting sqref="H23">
    <cfRule type="expression" dxfId="1873" priority="74" stopIfTrue="1">
      <formula>IF($S23&lt;3,TRUE,)</formula>
    </cfRule>
  </conditionalFormatting>
  <conditionalFormatting sqref="G23">
    <cfRule type="expression" dxfId="1872" priority="73" stopIfTrue="1">
      <formula>IF($S23&lt;2,TRUE,)</formula>
    </cfRule>
  </conditionalFormatting>
  <conditionalFormatting sqref="F23">
    <cfRule type="expression" dxfId="1871" priority="72" stopIfTrue="1">
      <formula>IF($S23&lt;1,TRUE,)</formula>
    </cfRule>
  </conditionalFormatting>
  <conditionalFormatting sqref="O23">
    <cfRule type="expression" dxfId="1870" priority="71" stopIfTrue="1">
      <formula>IF($S23&lt;10,TRUE,)</formula>
    </cfRule>
  </conditionalFormatting>
  <conditionalFormatting sqref="N58">
    <cfRule type="expression" dxfId="1869" priority="70" stopIfTrue="1">
      <formula>IF($S58&lt;9,TRUE,)</formula>
    </cfRule>
  </conditionalFormatting>
  <conditionalFormatting sqref="M58">
    <cfRule type="expression" dxfId="1868" priority="69" stopIfTrue="1">
      <formula>IF($S58&lt;8,TRUE,)</formula>
    </cfRule>
  </conditionalFormatting>
  <conditionalFormatting sqref="L58">
    <cfRule type="expression" dxfId="1867" priority="68" stopIfTrue="1">
      <formula>IF($S58&lt;7,TRUE,)</formula>
    </cfRule>
  </conditionalFormatting>
  <conditionalFormatting sqref="K58">
    <cfRule type="expression" dxfId="1866" priority="67" stopIfTrue="1">
      <formula>IF($S58&lt;6,TRUE,)</formula>
    </cfRule>
  </conditionalFormatting>
  <conditionalFormatting sqref="J58">
    <cfRule type="expression" dxfId="1865" priority="66" stopIfTrue="1">
      <formula>IF($S58&lt;5,TRUE,)</formula>
    </cfRule>
  </conditionalFormatting>
  <conditionalFormatting sqref="I58">
    <cfRule type="expression" dxfId="1864" priority="65" stopIfTrue="1">
      <formula>IF($S58&lt;4,TRUE,)</formula>
    </cfRule>
  </conditionalFormatting>
  <conditionalFormatting sqref="H58">
    <cfRule type="expression" dxfId="1863" priority="64" stopIfTrue="1">
      <formula>IF($S58&lt;3,TRUE,)</formula>
    </cfRule>
  </conditionalFormatting>
  <conditionalFormatting sqref="G58">
    <cfRule type="expression" dxfId="1862" priority="63" stopIfTrue="1">
      <formula>IF($S58&lt;2,TRUE,)</formula>
    </cfRule>
  </conditionalFormatting>
  <conditionalFormatting sqref="F58">
    <cfRule type="expression" dxfId="1861" priority="62" stopIfTrue="1">
      <formula>IF($S58&lt;1,TRUE,)</formula>
    </cfRule>
  </conditionalFormatting>
  <conditionalFormatting sqref="O58">
    <cfRule type="expression" dxfId="1860" priority="61" stopIfTrue="1">
      <formula>IF($S58&lt;10,TRUE,)</formula>
    </cfRule>
  </conditionalFormatting>
  <conditionalFormatting sqref="N47:N48">
    <cfRule type="expression" dxfId="1859" priority="60" stopIfTrue="1">
      <formula>IF($S47&lt;9,TRUE,)</formula>
    </cfRule>
  </conditionalFormatting>
  <conditionalFormatting sqref="M47:M48">
    <cfRule type="expression" dxfId="1858" priority="59" stopIfTrue="1">
      <formula>IF($S47&lt;8,TRUE,)</formula>
    </cfRule>
  </conditionalFormatting>
  <conditionalFormatting sqref="L47:L48">
    <cfRule type="expression" dxfId="1857" priority="58" stopIfTrue="1">
      <formula>IF($S47&lt;7,TRUE,)</formula>
    </cfRule>
  </conditionalFormatting>
  <conditionalFormatting sqref="K47:K48">
    <cfRule type="expression" dxfId="1856" priority="57" stopIfTrue="1">
      <formula>IF($S47&lt;6,TRUE,)</formula>
    </cfRule>
  </conditionalFormatting>
  <conditionalFormatting sqref="J47:J48">
    <cfRule type="expression" dxfId="1855" priority="56" stopIfTrue="1">
      <formula>IF($S47&lt;5,TRUE,)</formula>
    </cfRule>
  </conditionalFormatting>
  <conditionalFormatting sqref="I47:I48">
    <cfRule type="expression" dxfId="1854" priority="55" stopIfTrue="1">
      <formula>IF($S47&lt;4,TRUE,)</formula>
    </cfRule>
  </conditionalFormatting>
  <conditionalFormatting sqref="H47:H48">
    <cfRule type="expression" dxfId="1853" priority="54" stopIfTrue="1">
      <formula>IF($S47&lt;3,TRUE,)</formula>
    </cfRule>
  </conditionalFormatting>
  <conditionalFormatting sqref="G47:G48">
    <cfRule type="expression" dxfId="1852" priority="53" stopIfTrue="1">
      <formula>IF($S47&lt;2,TRUE,)</formula>
    </cfRule>
  </conditionalFormatting>
  <conditionalFormatting sqref="F47:F48">
    <cfRule type="expression" dxfId="1851" priority="52" stopIfTrue="1">
      <formula>IF($S47&lt;1,TRUE,)</formula>
    </cfRule>
  </conditionalFormatting>
  <conditionalFormatting sqref="O47:O48">
    <cfRule type="expression" dxfId="1850" priority="51" stopIfTrue="1">
      <formula>IF($S47&lt;10,TRUE,)</formula>
    </cfRule>
  </conditionalFormatting>
  <conditionalFormatting sqref="N56:N57">
    <cfRule type="expression" dxfId="1849" priority="50" stopIfTrue="1">
      <formula>IF($S56&lt;9,TRUE,)</formula>
    </cfRule>
  </conditionalFormatting>
  <conditionalFormatting sqref="M56:M57">
    <cfRule type="expression" dxfId="1848" priority="49" stopIfTrue="1">
      <formula>IF($S56&lt;8,TRUE,)</formula>
    </cfRule>
  </conditionalFormatting>
  <conditionalFormatting sqref="L56:L57">
    <cfRule type="expression" dxfId="1847" priority="48" stopIfTrue="1">
      <formula>IF($S56&lt;7,TRUE,)</formula>
    </cfRule>
  </conditionalFormatting>
  <conditionalFormatting sqref="K56:K57">
    <cfRule type="expression" dxfId="1846" priority="47" stopIfTrue="1">
      <formula>IF($S56&lt;6,TRUE,)</formula>
    </cfRule>
  </conditionalFormatting>
  <conditionalFormatting sqref="J56:J57">
    <cfRule type="expression" dxfId="1845" priority="46" stopIfTrue="1">
      <formula>IF($S56&lt;5,TRUE,)</formula>
    </cfRule>
  </conditionalFormatting>
  <conditionalFormatting sqref="I56:I57">
    <cfRule type="expression" dxfId="1844" priority="45" stopIfTrue="1">
      <formula>IF($S56&lt;4,TRUE,)</formula>
    </cfRule>
  </conditionalFormatting>
  <conditionalFormatting sqref="H56:H57">
    <cfRule type="expression" dxfId="1843" priority="44" stopIfTrue="1">
      <formula>IF($S56&lt;3,TRUE,)</formula>
    </cfRule>
  </conditionalFormatting>
  <conditionalFormatting sqref="G56:G57">
    <cfRule type="expression" dxfId="1842" priority="43" stopIfTrue="1">
      <formula>IF($S56&lt;2,TRUE,)</formula>
    </cfRule>
  </conditionalFormatting>
  <conditionalFormatting sqref="F56:F57">
    <cfRule type="expression" dxfId="1841" priority="42" stopIfTrue="1">
      <formula>IF($S56&lt;1,TRUE,)</formula>
    </cfRule>
  </conditionalFormatting>
  <conditionalFormatting sqref="O56:O57">
    <cfRule type="expression" dxfId="1840" priority="41" stopIfTrue="1">
      <formula>IF($S56&lt;10,TRUE,)</formula>
    </cfRule>
  </conditionalFormatting>
  <conditionalFormatting sqref="N49:N50">
    <cfRule type="expression" dxfId="1839" priority="40" stopIfTrue="1">
      <formula>IF($S49&lt;9,TRUE,)</formula>
    </cfRule>
  </conditionalFormatting>
  <conditionalFormatting sqref="M49:M50">
    <cfRule type="expression" dxfId="1838" priority="39" stopIfTrue="1">
      <formula>IF($S49&lt;8,TRUE,)</formula>
    </cfRule>
  </conditionalFormatting>
  <conditionalFormatting sqref="L49:L50">
    <cfRule type="expression" dxfId="1837" priority="38" stopIfTrue="1">
      <formula>IF($S49&lt;7,TRUE,)</formula>
    </cfRule>
  </conditionalFormatting>
  <conditionalFormatting sqref="K49:K50">
    <cfRule type="expression" dxfId="1836" priority="37" stopIfTrue="1">
      <formula>IF($S49&lt;6,TRUE,)</formula>
    </cfRule>
  </conditionalFormatting>
  <conditionalFormatting sqref="J49:J50">
    <cfRule type="expression" dxfId="1835" priority="36" stopIfTrue="1">
      <formula>IF($S49&lt;5,TRUE,)</formula>
    </cfRule>
  </conditionalFormatting>
  <conditionalFormatting sqref="I49:I50">
    <cfRule type="expression" dxfId="1834" priority="35" stopIfTrue="1">
      <formula>IF($S49&lt;4,TRUE,)</formula>
    </cfRule>
  </conditionalFormatting>
  <conditionalFormatting sqref="H49:H50">
    <cfRule type="expression" dxfId="1833" priority="34" stopIfTrue="1">
      <formula>IF($S49&lt;3,TRUE,)</formula>
    </cfRule>
  </conditionalFormatting>
  <conditionalFormatting sqref="G49:G50">
    <cfRule type="expression" dxfId="1832" priority="33" stopIfTrue="1">
      <formula>IF($S49&lt;2,TRUE,)</formula>
    </cfRule>
  </conditionalFormatting>
  <conditionalFormatting sqref="F49:F50">
    <cfRule type="expression" dxfId="1831" priority="32" stopIfTrue="1">
      <formula>IF($S49&lt;1,TRUE,)</formula>
    </cfRule>
  </conditionalFormatting>
  <conditionalFormatting sqref="O49:O50">
    <cfRule type="expression" dxfId="1830" priority="31" stopIfTrue="1">
      <formula>IF($S49&lt;10,TRUE,)</formula>
    </cfRule>
  </conditionalFormatting>
  <conditionalFormatting sqref="N58">
    <cfRule type="expression" dxfId="1829" priority="30" stopIfTrue="1">
      <formula>IF($S58&lt;9,TRUE,)</formula>
    </cfRule>
  </conditionalFormatting>
  <conditionalFormatting sqref="M58">
    <cfRule type="expression" dxfId="1828" priority="29" stopIfTrue="1">
      <formula>IF($S58&lt;8,TRUE,)</formula>
    </cfRule>
  </conditionalFormatting>
  <conditionalFormatting sqref="L58">
    <cfRule type="expression" dxfId="1827" priority="28" stopIfTrue="1">
      <formula>IF($S58&lt;7,TRUE,)</formula>
    </cfRule>
  </conditionalFormatting>
  <conditionalFormatting sqref="K58">
    <cfRule type="expression" dxfId="1826" priority="27" stopIfTrue="1">
      <formula>IF($S58&lt;6,TRUE,)</formula>
    </cfRule>
  </conditionalFormatting>
  <conditionalFormatting sqref="J58">
    <cfRule type="expression" dxfId="1825" priority="26" stopIfTrue="1">
      <formula>IF($S58&lt;5,TRUE,)</formula>
    </cfRule>
  </conditionalFormatting>
  <conditionalFormatting sqref="I58">
    <cfRule type="expression" dxfId="1824" priority="25" stopIfTrue="1">
      <formula>IF($S58&lt;4,TRUE,)</formula>
    </cfRule>
  </conditionalFormatting>
  <conditionalFormatting sqref="H58">
    <cfRule type="expression" dxfId="1823" priority="24" stopIfTrue="1">
      <formula>IF($S58&lt;3,TRUE,)</formula>
    </cfRule>
  </conditionalFormatting>
  <conditionalFormatting sqref="G58">
    <cfRule type="expression" dxfId="1822" priority="23" stopIfTrue="1">
      <formula>IF($S58&lt;2,TRUE,)</formula>
    </cfRule>
  </conditionalFormatting>
  <conditionalFormatting sqref="F58">
    <cfRule type="expression" dxfId="1821" priority="22" stopIfTrue="1">
      <formula>IF($S58&lt;1,TRUE,)</formula>
    </cfRule>
  </conditionalFormatting>
  <conditionalFormatting sqref="O58">
    <cfRule type="expression" dxfId="1820" priority="21" stopIfTrue="1">
      <formula>IF($S58&lt;10,TRUE,)</formula>
    </cfRule>
  </conditionalFormatting>
  <conditionalFormatting sqref="N54:N55">
    <cfRule type="expression" dxfId="1819" priority="20" stopIfTrue="1">
      <formula>IF($S54&lt;9,TRUE,)</formula>
    </cfRule>
  </conditionalFormatting>
  <conditionalFormatting sqref="M54:M55">
    <cfRule type="expression" dxfId="1818" priority="19" stopIfTrue="1">
      <formula>IF($S54&lt;8,TRUE,)</formula>
    </cfRule>
  </conditionalFormatting>
  <conditionalFormatting sqref="L54:L55">
    <cfRule type="expression" dxfId="1817" priority="18" stopIfTrue="1">
      <formula>IF($S54&lt;7,TRUE,)</formula>
    </cfRule>
  </conditionalFormatting>
  <conditionalFormatting sqref="K54:K55">
    <cfRule type="expression" dxfId="1816" priority="17" stopIfTrue="1">
      <formula>IF($S54&lt;6,TRUE,)</formula>
    </cfRule>
  </conditionalFormatting>
  <conditionalFormatting sqref="J54:J55">
    <cfRule type="expression" dxfId="1815" priority="16" stopIfTrue="1">
      <formula>IF($S54&lt;5,TRUE,)</formula>
    </cfRule>
  </conditionalFormatting>
  <conditionalFormatting sqref="I54:I55">
    <cfRule type="expression" dxfId="1814" priority="15" stopIfTrue="1">
      <formula>IF($S54&lt;4,TRUE,)</formula>
    </cfRule>
  </conditionalFormatting>
  <conditionalFormatting sqref="H54:H55">
    <cfRule type="expression" dxfId="1813" priority="14" stopIfTrue="1">
      <formula>IF($S54&lt;3,TRUE,)</formula>
    </cfRule>
  </conditionalFormatting>
  <conditionalFormatting sqref="G54:G55">
    <cfRule type="expression" dxfId="1812" priority="13" stopIfTrue="1">
      <formula>IF($S54&lt;2,TRUE,)</formula>
    </cfRule>
  </conditionalFormatting>
  <conditionalFormatting sqref="F54:F55">
    <cfRule type="expression" dxfId="1811" priority="12" stopIfTrue="1">
      <formula>IF($S54&lt;1,TRUE,)</formula>
    </cfRule>
  </conditionalFormatting>
  <conditionalFormatting sqref="O54:O55">
    <cfRule type="expression" dxfId="1810" priority="11" stopIfTrue="1">
      <formula>IF($S54&lt;10,TRUE,)</formula>
    </cfRule>
  </conditionalFormatting>
  <conditionalFormatting sqref="N55">
    <cfRule type="expression" dxfId="1809" priority="10" stopIfTrue="1">
      <formula>IF($S55&lt;9,TRUE,)</formula>
    </cfRule>
  </conditionalFormatting>
  <conditionalFormatting sqref="M55">
    <cfRule type="expression" dxfId="1808" priority="9" stopIfTrue="1">
      <formula>IF($S55&lt;8,TRUE,)</formula>
    </cfRule>
  </conditionalFormatting>
  <conditionalFormatting sqref="L55">
    <cfRule type="expression" dxfId="1807" priority="8" stopIfTrue="1">
      <formula>IF($S55&lt;7,TRUE,)</formula>
    </cfRule>
  </conditionalFormatting>
  <conditionalFormatting sqref="K55">
    <cfRule type="expression" dxfId="1806" priority="7" stopIfTrue="1">
      <formula>IF($S55&lt;6,TRUE,)</formula>
    </cfRule>
  </conditionalFormatting>
  <conditionalFormatting sqref="J55">
    <cfRule type="expression" dxfId="1805" priority="6" stopIfTrue="1">
      <formula>IF($S55&lt;5,TRUE,)</formula>
    </cfRule>
  </conditionalFormatting>
  <conditionalFormatting sqref="I55">
    <cfRule type="expression" dxfId="1804" priority="5" stopIfTrue="1">
      <formula>IF($S55&lt;4,TRUE,)</formula>
    </cfRule>
  </conditionalFormatting>
  <conditionalFormatting sqref="H55">
    <cfRule type="expression" dxfId="1803" priority="4" stopIfTrue="1">
      <formula>IF($S55&lt;3,TRUE,)</formula>
    </cfRule>
  </conditionalFormatting>
  <conditionalFormatting sqref="G55">
    <cfRule type="expression" dxfId="1802" priority="3" stopIfTrue="1">
      <formula>IF($S55&lt;2,TRUE,)</formula>
    </cfRule>
  </conditionalFormatting>
  <conditionalFormatting sqref="F55">
    <cfRule type="expression" dxfId="1801" priority="2" stopIfTrue="1">
      <formula>IF($S55&lt;1,TRUE,)</formula>
    </cfRule>
  </conditionalFormatting>
  <conditionalFormatting sqref="O55">
    <cfRule type="expression" dxfId="1800" priority="1" stopIfTrue="1">
      <formula>IF($S55&lt;10,TRUE,)</formula>
    </cfRule>
  </conditionalFormatting>
  <dataValidations xWindow="743" yWindow="408" count="11">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60:P60"/>
    <dataValidation type="list" allowBlank="1" showInputMessage="1" showErrorMessage="1" promptTitle="DROP DOWN LIST" prompt="Select whether the named person is staff, a manager or an administrator. Leave this cell blank if you entered a FUNCTION name or left the name blank." sqref="P38:P41 P22:P25 P54:P57 P31:P34 P47:P50 P15:P18">
      <formula1>R.DDL_DEQStaffRank</formula1>
    </dataValidation>
    <dataValidation allowBlank="1" showInputMessage="1" showErrorMessage="1" promptTitle="ENTER NAME" prompt="Enter the name of the STAFF or FUNCTION involved with IMPLEMENTING the project._x000a_" sqref="D38:D41 D22:D25 D54:D57"/>
    <dataValidation allowBlank="1" showInputMessage="1" showErrorMessage="1" promptTitle="ENTER NAME" prompt="Enter the name of the STAFF or FUNCTION involved with DEVELOPING the project._x000a_" sqref="D15:D18 D31:D34 D47:D50"/>
    <dataValidation type="list" allowBlank="1" showInputMessage="1" showErrorMessage="1" promptTitle="DROP DOWN LIST" prompt="Select a range of hours from the drop down list that best describes how involved this resource will be in DEVELOPING this project." sqref="E47:E50 E31:E34 E15:E18">
      <formula1>R.DDL_DEQResourcesInvolved</formula1>
    </dataValidation>
    <dataValidation type="list" allowBlank="1" showInputMessage="1" showErrorMessage="1" promptTitle="DROP DOWN LIST" prompt="Select a range of hours from the drop down list that best describes how involved this resource will be in IMPLEMENTING this project." sqref="E38:E41 E22:E25 E54:E57">
      <formula1>R.DDL_DEQResourcesInvolved</formula1>
    </dataValidation>
    <dataValidation type="list" allowBlank="1" showInputMessage="1" showErrorMessage="1" sqref="P59">
      <formula1>R.DDL_DEQStaffRank</formula1>
    </dataValidation>
    <dataValidation type="textLength" allowBlank="1" showInputMessage="1" showErrorMessage="1" promptTitle="DESCRIBE INVOLVEMENT" prompt="_x000a_Describe how this resource would be involved with the proposal during the implementation phase of the rule." sqref="D52:P52 D20:P20 D36">
      <formula1>0</formula1>
      <formula2>5000</formula2>
    </dataValidation>
    <dataValidation type="textLength" allowBlank="1" showInputMessage="1" showErrorMessage="1" promptTitle="DESCRIBE INVOLVEMENT" prompt="_x000a_Describe how this resource would be involved with the proposal during the development phase of the rule._x000a_" sqref="D45:P45">
      <formula1>0</formula1>
      <formula2>5000</formula2>
    </dataValidation>
    <dataValidation type="textLength" allowBlank="1" showInputMessage="1" showErrorMessage="1" promptTitle="DESCRIBE INVOLVEMENT" prompt="_x000a_Describe how this resource would be involved with the proposal during the development phase of the rule." sqref="D13:P13 D29:P29">
      <formula1>0</formula1>
      <formula2>5000</formula2>
    </dataValidation>
    <dataValidation allowBlank="1" showErrorMessage="1" sqref="D7:P8"/>
  </dataValidations>
  <hyperlinks>
    <hyperlink ref="A2" r:id="rId1" display="⧀ on Q-net"/>
    <hyperlink ref="A1" location="R.0Header" display="⧀ Go to Content"/>
    <hyperlink ref="A11" r:id="rId2"/>
    <hyperlink ref="A27" r:id="rId3" display="⧀ on Q-net"/>
    <hyperlink ref="A61" location="R.9Header" display="Go to Top"/>
    <hyperlink ref="A43" r:id="rId4"/>
  </hyperlinks>
  <pageMargins left="0.25" right="0.25" top="0.41" bottom="0.42" header="0.3" footer="0.3"/>
  <pageSetup scale="95" orientation="portrait" horizontalDpi="4294967293" verticalDpi="4294967293" r:id="rId5"/>
  <rowBreaks count="1" manualBreakCount="1">
    <brk id="26" min="2" max="16" man="1"/>
  </rowBreaks>
  <drawing r:id="rId6"/>
  <legacyDrawing r:id="rId7"/>
</worksheet>
</file>

<file path=xl/worksheets/sheet14.xml><?xml version="1.0" encoding="utf-8"?>
<worksheet xmlns="http://schemas.openxmlformats.org/spreadsheetml/2006/main" xmlns:r="http://schemas.openxmlformats.org/officeDocument/2006/relationships">
  <sheetPr codeName="Sheet16"/>
  <dimension ref="A1:AG84"/>
  <sheetViews>
    <sheetView showGridLines="0" zoomScaleNormal="100" workbookViewId="0">
      <selection activeCell="D2" sqref="D2"/>
    </sheetView>
  </sheetViews>
  <sheetFormatPr defaultColWidth="9" defaultRowHeight="20.25" outlineLevelRow="1" outlineLevelCol="1"/>
  <cols>
    <col min="1" max="1" width="13.75" style="312" customWidth="1"/>
    <col min="2" max="2" width="3.625" customWidth="1"/>
    <col min="3" max="3" width="3.625" style="44" customWidth="1"/>
    <col min="4" max="4" width="40.5" style="104" customWidth="1"/>
    <col min="5" max="5" width="15.75" style="104" customWidth="1"/>
    <col min="6" max="15" width="1.625" style="104" customWidth="1"/>
    <col min="16" max="16" width="15.75" style="104" customWidth="1"/>
    <col min="17" max="17" width="3.625" style="104" customWidth="1"/>
    <col min="18" max="18" width="3.625" style="64" customWidth="1"/>
    <col min="19" max="19" width="9" style="113" hidden="1" customWidth="1" outlineLevel="1"/>
    <col min="20" max="20" width="14.875" style="64" hidden="1" customWidth="1" outlineLevel="1"/>
    <col min="21" max="21" width="14.625" style="64" hidden="1" customWidth="1" outlineLevel="1"/>
    <col min="22" max="22" width="26.5" style="64" customWidth="1" collapsed="1"/>
    <col min="23" max="23" width="16.5" style="64" customWidth="1"/>
    <col min="24" max="24" width="18" style="64" customWidth="1"/>
    <col min="25" max="33" width="31.125" style="64" customWidth="1"/>
    <col min="34" max="16384" width="9" style="104"/>
  </cols>
  <sheetData>
    <row r="1" spans="1:33" s="64" customFormat="1" ht="20.25" customHeight="1">
      <c r="A1" s="350" t="s">
        <v>104</v>
      </c>
      <c r="B1" s="334"/>
      <c r="C1" s="335"/>
      <c r="D1" s="335"/>
      <c r="E1" s="334"/>
      <c r="F1" s="334"/>
      <c r="G1" s="334"/>
      <c r="H1" s="334"/>
      <c r="I1" s="334"/>
      <c r="J1" s="334"/>
      <c r="K1" s="334"/>
      <c r="L1" s="334"/>
      <c r="M1" s="334"/>
      <c r="N1" s="334"/>
      <c r="O1" s="334"/>
      <c r="P1" s="334"/>
      <c r="Q1" s="334"/>
      <c r="R1" s="334"/>
      <c r="S1" s="113"/>
    </row>
    <row r="2" spans="1:33" s="6" customFormat="1" ht="30" customHeight="1" thickBot="1">
      <c r="A2" s="323"/>
      <c r="B2" s="334"/>
      <c r="C2" s="333">
        <v>10</v>
      </c>
      <c r="D2" s="331" t="s">
        <v>81</v>
      </c>
      <c r="E2" s="713" t="str">
        <f>R.1MediaAndLongName</f>
        <v>CP Division 12 Updates</v>
      </c>
      <c r="F2" s="713"/>
      <c r="G2" s="713"/>
      <c r="H2" s="713"/>
      <c r="I2" s="713"/>
      <c r="J2" s="713"/>
      <c r="K2" s="713"/>
      <c r="L2" s="713"/>
      <c r="M2" s="713"/>
      <c r="N2" s="713"/>
      <c r="O2" s="713"/>
      <c r="P2" s="713"/>
      <c r="Q2" s="154"/>
      <c r="R2" s="334"/>
      <c r="S2" s="119" t="str">
        <f>"R."&amp;$C$2&amp;"StaffCount"</f>
        <v>R.10StaffCount</v>
      </c>
      <c r="T2" s="119" t="str">
        <f>"R."&amp;$C$2&amp;"LowHrs"</f>
        <v>R.10LowHrs</v>
      </c>
      <c r="U2" s="349" t="str">
        <f>"R."&amp;$C$2&amp;"HighHrs"</f>
        <v>R.10HighHrs</v>
      </c>
      <c r="V2" s="120" t="s">
        <v>0</v>
      </c>
      <c r="W2" s="64"/>
      <c r="X2" s="64"/>
      <c r="Y2" s="64"/>
      <c r="Z2" s="64"/>
      <c r="AA2" s="64"/>
      <c r="AB2" s="64"/>
      <c r="AC2" s="64"/>
      <c r="AD2" s="66"/>
      <c r="AE2" s="66"/>
      <c r="AF2" s="66"/>
      <c r="AG2" s="66"/>
    </row>
    <row r="3" spans="1:33" s="6" customFormat="1" ht="20.25" customHeight="1" thickTop="1">
      <c r="A3" s="319"/>
      <c r="B3" s="334"/>
      <c r="C3" s="155"/>
      <c r="D3" s="96"/>
      <c r="E3" s="96"/>
      <c r="F3" s="13"/>
      <c r="G3" s="164"/>
      <c r="H3" s="164"/>
      <c r="I3" s="164"/>
      <c r="J3" s="97"/>
      <c r="K3" s="13"/>
      <c r="L3" s="13"/>
      <c r="M3" s="699" t="s">
        <v>57</v>
      </c>
      <c r="N3" s="699"/>
      <c r="O3" s="699"/>
      <c r="P3" s="699"/>
      <c r="Q3" s="156"/>
      <c r="R3" s="334"/>
      <c r="S3" s="354">
        <f>COUNTIFS(S15:S73,"&gt;0")</f>
        <v>0</v>
      </c>
      <c r="T3" s="355">
        <f>SUM(T15:T73)</f>
        <v>0</v>
      </c>
      <c r="U3" s="355">
        <f>SUM(U15:U73)</f>
        <v>0</v>
      </c>
      <c r="V3" s="120"/>
      <c r="W3" s="64"/>
      <c r="X3" s="64"/>
      <c r="Y3" s="64"/>
      <c r="Z3" s="64"/>
      <c r="AA3" s="64"/>
      <c r="AB3" s="64"/>
      <c r="AC3" s="64"/>
      <c r="AD3" s="66"/>
      <c r="AE3" s="66"/>
      <c r="AF3" s="66"/>
      <c r="AG3" s="66"/>
    </row>
    <row r="4" spans="1:33" s="6" customFormat="1" ht="20.25" customHeight="1">
      <c r="A4" s="319"/>
      <c r="B4" s="334"/>
      <c r="C4" s="155"/>
      <c r="D4" s="494" t="s">
        <v>55</v>
      </c>
      <c r="E4" s="81">
        <f>S3</f>
        <v>0</v>
      </c>
      <c r="F4" s="700" t="s">
        <v>54</v>
      </c>
      <c r="G4" s="700"/>
      <c r="H4" s="700"/>
      <c r="I4" s="700"/>
      <c r="J4" s="700"/>
      <c r="K4" s="700"/>
      <c r="L4" s="700"/>
      <c r="M4" s="701" t="str">
        <f>S4</f>
        <v>0</v>
      </c>
      <c r="N4" s="701"/>
      <c r="O4" s="701"/>
      <c r="P4" s="701"/>
      <c r="Q4" s="156"/>
      <c r="R4" s="334"/>
      <c r="S4" s="122" t="str">
        <f>IF(R.10StaffCount=0,"0",IF(R.10LowHrs=0,"0-"&amp;TEXT(R.10HighHrs,"#,###"),TEXT(R.10LowHrs,"#,###")&amp;"-"&amp;TEXT(R.10HighHrs,"#,###")))</f>
        <v>0</v>
      </c>
      <c r="T4" s="119" t="str">
        <f>"R."&amp;$C$2&amp;"LowDollars"</f>
        <v>R.10LowDollars</v>
      </c>
      <c r="U4" s="349" t="str">
        <f>"R."&amp;$C$2&amp;"HighDollars"</f>
        <v>R.10HighDollars</v>
      </c>
      <c r="V4" s="120"/>
      <c r="W4" s="64"/>
      <c r="X4" s="64"/>
      <c r="Y4" s="64"/>
      <c r="Z4" s="64"/>
      <c r="AA4" s="64"/>
      <c r="AB4" s="64"/>
      <c r="AC4" s="64"/>
      <c r="AD4" s="66"/>
      <c r="AE4" s="66"/>
      <c r="AF4" s="66"/>
      <c r="AG4" s="66"/>
    </row>
    <row r="5" spans="1:33" s="6" customFormat="1" ht="20.25" customHeight="1">
      <c r="A5" s="319"/>
      <c r="B5" s="334"/>
      <c r="C5" s="155"/>
      <c r="D5" s="494" t="s">
        <v>67</v>
      </c>
      <c r="E5" s="98">
        <f>R.AvgHrDEQCost</f>
        <v>58</v>
      </c>
      <c r="F5" s="700" t="s">
        <v>58</v>
      </c>
      <c r="G5" s="700"/>
      <c r="H5" s="700"/>
      <c r="I5" s="700"/>
      <c r="J5" s="700"/>
      <c r="K5" s="700"/>
      <c r="L5" s="700"/>
      <c r="M5" s="702" t="str">
        <f>S5</f>
        <v>$0</v>
      </c>
      <c r="N5" s="702"/>
      <c r="O5" s="702"/>
      <c r="P5" s="702"/>
      <c r="Q5" s="156"/>
      <c r="R5" s="334"/>
      <c r="S5" s="122" t="str">
        <f>IF(R.10StaffCount=0,"$0",IF(R.10LowDollars=0,"$0-"&amp;TEXT(R.10HighDollars,"#,###"),TEXT(R.10LowDollars,"$#,###")&amp;"-"&amp;TEXT(R.10HighDollars,"#,###")))</f>
        <v>$0</v>
      </c>
      <c r="T5" s="124">
        <f>T3*E5</f>
        <v>0</v>
      </c>
      <c r="U5" s="124">
        <f>U3*E5</f>
        <v>0</v>
      </c>
      <c r="V5" s="120"/>
      <c r="W5" s="64"/>
      <c r="X5" s="64"/>
      <c r="Y5" s="64"/>
      <c r="Z5" s="64"/>
      <c r="AA5" s="64"/>
      <c r="AB5" s="64"/>
      <c r="AC5" s="64"/>
      <c r="AD5" s="66"/>
      <c r="AE5" s="66"/>
      <c r="AF5" s="66"/>
      <c r="AG5" s="66"/>
    </row>
    <row r="6" spans="1:33" s="6" customFormat="1" ht="8.25" customHeight="1">
      <c r="A6" s="319"/>
      <c r="B6" s="334"/>
      <c r="C6" s="155"/>
      <c r="D6" s="110" t="s">
        <v>0</v>
      </c>
      <c r="E6" s="100"/>
      <c r="F6" s="99"/>
      <c r="G6" s="99"/>
      <c r="H6" s="99"/>
      <c r="I6" s="99"/>
      <c r="J6" s="99"/>
      <c r="K6" s="99"/>
      <c r="L6" s="99"/>
      <c r="M6" s="99"/>
      <c r="N6" s="99"/>
      <c r="O6" s="99"/>
      <c r="P6" s="99"/>
      <c r="Q6" s="156"/>
      <c r="R6" s="334"/>
      <c r="S6" s="66"/>
      <c r="T6" s="66"/>
      <c r="U6" s="66"/>
      <c r="V6" s="120"/>
      <c r="W6" s="64"/>
      <c r="X6" s="64"/>
      <c r="Y6" s="64"/>
      <c r="Z6" s="64"/>
      <c r="AA6" s="64"/>
      <c r="AB6" s="64"/>
      <c r="AC6" s="64"/>
      <c r="AD6" s="66"/>
      <c r="AE6" s="66"/>
      <c r="AF6" s="66"/>
      <c r="AG6" s="66"/>
    </row>
    <row r="7" spans="1:33" s="6" customFormat="1" ht="105" customHeight="1">
      <c r="A7" s="316"/>
      <c r="B7" s="334"/>
      <c r="C7" s="155"/>
      <c r="D7" s="730" t="s">
        <v>247</v>
      </c>
      <c r="E7" s="731"/>
      <c r="F7" s="731"/>
      <c r="G7" s="731"/>
      <c r="H7" s="731"/>
      <c r="I7" s="731"/>
      <c r="J7" s="731"/>
      <c r="K7" s="731"/>
      <c r="L7" s="731"/>
      <c r="M7" s="731"/>
      <c r="N7" s="731"/>
      <c r="O7" s="731"/>
      <c r="P7" s="732"/>
      <c r="Q7" s="156"/>
      <c r="R7" s="334"/>
      <c r="S7" s="496" t="e">
        <f>AVERAGEIF(S14:S56,"&gt;0")</f>
        <v>#DIV/0!</v>
      </c>
      <c r="T7" s="493"/>
      <c r="U7" s="493"/>
      <c r="V7" s="120"/>
      <c r="W7" s="436"/>
      <c r="X7" s="436"/>
      <c r="Y7" s="436"/>
      <c r="Z7" s="436"/>
      <c r="AA7" s="436"/>
      <c r="AB7" s="436"/>
      <c r="AC7" s="436"/>
      <c r="AD7" s="66"/>
      <c r="AE7" s="66"/>
      <c r="AF7" s="66"/>
    </row>
    <row r="8" spans="1:33" s="6" customFormat="1" ht="20.25" customHeight="1">
      <c r="A8" s="316"/>
      <c r="B8" s="334"/>
      <c r="C8" s="155"/>
      <c r="D8" s="748" t="s">
        <v>523</v>
      </c>
      <c r="E8" s="748"/>
      <c r="F8" s="748"/>
      <c r="G8" s="748"/>
      <c r="H8" s="748"/>
      <c r="I8" s="748"/>
      <c r="J8" s="748"/>
      <c r="K8" s="748"/>
      <c r="L8" s="748"/>
      <c r="M8" s="748"/>
      <c r="N8" s="748"/>
      <c r="O8" s="748"/>
      <c r="P8" s="748"/>
      <c r="Q8" s="156"/>
      <c r="R8" s="334"/>
      <c r="T8" s="493"/>
      <c r="U8" s="493"/>
      <c r="V8" s="120"/>
      <c r="W8" s="436"/>
      <c r="X8" s="436"/>
      <c r="Y8" s="436"/>
      <c r="Z8" s="436"/>
      <c r="AA8" s="436"/>
      <c r="AB8" s="436"/>
      <c r="AC8" s="436"/>
      <c r="AD8" s="66"/>
      <c r="AE8" s="66"/>
      <c r="AF8" s="66"/>
    </row>
    <row r="9" spans="1:33" s="28" customFormat="1" ht="15.75" customHeight="1">
      <c r="A9" s="345"/>
      <c r="B9" s="440"/>
      <c r="C9" s="138"/>
      <c r="D9" s="745" t="s">
        <v>469</v>
      </c>
      <c r="E9" s="746"/>
      <c r="F9" s="746"/>
      <c r="G9" s="746"/>
      <c r="H9" s="746"/>
      <c r="I9" s="746"/>
      <c r="J9" s="746"/>
      <c r="K9" s="746"/>
      <c r="L9" s="746"/>
      <c r="M9" s="746"/>
      <c r="N9" s="746"/>
      <c r="O9" s="746"/>
      <c r="P9" s="747"/>
      <c r="Q9" s="139"/>
      <c r="R9" s="440"/>
      <c r="S9" s="496">
        <f>IFERROR(AVERAGEIF(S17:S59,"&gt;0"),0)</f>
        <v>0</v>
      </c>
      <c r="T9" s="463"/>
      <c r="U9" s="441"/>
      <c r="V9" s="438"/>
      <c r="W9" s="438"/>
      <c r="X9" s="438"/>
      <c r="Y9" s="438"/>
      <c r="Z9" s="438"/>
      <c r="AA9" s="438"/>
      <c r="AB9" s="438"/>
      <c r="AC9" s="438"/>
      <c r="AD9" s="130"/>
      <c r="AE9" s="130"/>
      <c r="AF9" s="130"/>
      <c r="AG9" s="130"/>
    </row>
    <row r="10" spans="1:33" s="69" customFormat="1" ht="14.25" customHeight="1">
      <c r="A10" s="319"/>
      <c r="B10" s="334"/>
      <c r="C10" s="404"/>
      <c r="D10" s="405"/>
      <c r="E10" s="405"/>
      <c r="F10" s="405"/>
      <c r="G10" s="405"/>
      <c r="H10" s="405"/>
      <c r="I10" s="405"/>
      <c r="J10" s="405"/>
      <c r="K10" s="405"/>
      <c r="L10" s="405"/>
      <c r="M10" s="405"/>
      <c r="N10" s="405"/>
      <c r="O10" s="405"/>
      <c r="P10" s="405"/>
      <c r="Q10" s="406"/>
      <c r="R10" s="334"/>
      <c r="S10" s="125"/>
      <c r="T10" s="125"/>
      <c r="U10" s="125"/>
      <c r="V10" s="126"/>
      <c r="W10" s="126"/>
      <c r="X10" s="126"/>
      <c r="Y10" s="126"/>
      <c r="Z10" s="126"/>
      <c r="AA10" s="126"/>
      <c r="AB10" s="126"/>
      <c r="AC10" s="126"/>
      <c r="AD10" s="125"/>
      <c r="AE10" s="125"/>
      <c r="AF10" s="125"/>
      <c r="AG10" s="125"/>
    </row>
    <row r="11" spans="1:33" s="33" customFormat="1" ht="30" customHeight="1">
      <c r="A11" s="350" t="s">
        <v>107</v>
      </c>
      <c r="B11" s="334"/>
      <c r="C11" s="483" t="s">
        <v>0</v>
      </c>
      <c r="D11" s="381" t="s">
        <v>142</v>
      </c>
      <c r="E11" s="382"/>
      <c r="F11" s="382"/>
      <c r="G11" s="382"/>
      <c r="H11" s="382"/>
      <c r="I11" s="382"/>
      <c r="J11" s="382"/>
      <c r="K11" s="382"/>
      <c r="L11" s="382"/>
      <c r="M11" s="382"/>
      <c r="N11" s="382"/>
      <c r="O11" s="382"/>
      <c r="P11" s="382"/>
      <c r="Q11" s="384"/>
      <c r="R11" s="334"/>
      <c r="S11" s="128"/>
      <c r="T11" s="127"/>
      <c r="U11" s="127"/>
      <c r="V11" s="129"/>
      <c r="W11" s="129"/>
      <c r="X11" s="129"/>
      <c r="Y11" s="129"/>
      <c r="Z11" s="129"/>
      <c r="AA11" s="129"/>
      <c r="AB11" s="129"/>
      <c r="AC11" s="129"/>
      <c r="AD11" s="127"/>
      <c r="AE11" s="127"/>
      <c r="AF11" s="127"/>
      <c r="AG11" s="127"/>
    </row>
    <row r="12" spans="1:33" s="33" customFormat="1" ht="14.25" customHeight="1">
      <c r="A12" s="319"/>
      <c r="B12" s="334"/>
      <c r="C12" s="232"/>
      <c r="D12" s="443" t="s">
        <v>53</v>
      </c>
      <c r="E12" s="94"/>
      <c r="F12" s="94"/>
      <c r="G12" s="94"/>
      <c r="H12" s="94"/>
      <c r="I12" s="94"/>
      <c r="J12" s="94"/>
      <c r="K12" s="94"/>
      <c r="L12" s="94"/>
      <c r="M12" s="94"/>
      <c r="N12" s="94"/>
      <c r="O12" s="94"/>
      <c r="P12" s="94"/>
      <c r="Q12" s="137"/>
      <c r="R12" s="334"/>
      <c r="S12" s="242"/>
      <c r="T12" s="127"/>
      <c r="U12" s="127"/>
      <c r="V12" s="230"/>
      <c r="W12" s="230"/>
      <c r="X12" s="230"/>
      <c r="Y12" s="230"/>
      <c r="Z12" s="230"/>
      <c r="AA12" s="230"/>
      <c r="AB12" s="230"/>
      <c r="AC12" s="230"/>
      <c r="AD12" s="127"/>
      <c r="AE12" s="127"/>
      <c r="AF12" s="127"/>
      <c r="AG12" s="127"/>
    </row>
    <row r="13" spans="1:33" s="28" customFormat="1" ht="20.25" customHeight="1">
      <c r="A13" s="319"/>
      <c r="B13" s="334"/>
      <c r="C13" s="138"/>
      <c r="D13" s="719"/>
      <c r="E13" s="720"/>
      <c r="F13" s="720"/>
      <c r="G13" s="720"/>
      <c r="H13" s="720"/>
      <c r="I13" s="720"/>
      <c r="J13" s="720"/>
      <c r="K13" s="720"/>
      <c r="L13" s="720"/>
      <c r="M13" s="720"/>
      <c r="N13" s="720"/>
      <c r="O13" s="720"/>
      <c r="P13" s="721"/>
      <c r="Q13" s="139"/>
      <c r="R13" s="334"/>
      <c r="S13" s="131"/>
      <c r="T13" s="130"/>
      <c r="U13" s="130"/>
      <c r="V13" s="64"/>
      <c r="W13" s="64"/>
      <c r="X13" s="64"/>
      <c r="Y13" s="64"/>
      <c r="Z13" s="64"/>
      <c r="AA13" s="64"/>
      <c r="AB13" s="64"/>
      <c r="AC13" s="64"/>
      <c r="AD13" s="130"/>
      <c r="AE13" s="130"/>
      <c r="AF13" s="130"/>
      <c r="AG13" s="130"/>
    </row>
    <row r="14" spans="1:33" s="33" customFormat="1" ht="14.25" customHeight="1">
      <c r="A14" s="319"/>
      <c r="B14" s="334"/>
      <c r="C14" s="233"/>
      <c r="D14" s="497" t="s">
        <v>60</v>
      </c>
      <c r="E14" s="467" t="s">
        <v>18</v>
      </c>
      <c r="F14" s="733" t="s">
        <v>19</v>
      </c>
      <c r="G14" s="733"/>
      <c r="H14" s="733"/>
      <c r="I14" s="733"/>
      <c r="J14" s="733"/>
      <c r="K14" s="733"/>
      <c r="L14" s="733"/>
      <c r="M14" s="733"/>
      <c r="N14" s="733"/>
      <c r="O14" s="733"/>
      <c r="P14" s="467" t="s">
        <v>20</v>
      </c>
      <c r="Q14" s="137"/>
      <c r="R14" s="334"/>
      <c r="S14" s="228"/>
      <c r="T14" s="229"/>
      <c r="U14" s="229"/>
      <c r="V14" s="230"/>
      <c r="W14" s="230"/>
      <c r="X14" s="230"/>
      <c r="Y14" s="230"/>
      <c r="Z14" s="230"/>
      <c r="AA14" s="230"/>
      <c r="AB14" s="230"/>
      <c r="AC14" s="230"/>
      <c r="AD14" s="127"/>
      <c r="AE14" s="127"/>
      <c r="AF14" s="127"/>
      <c r="AG14" s="127"/>
    </row>
    <row r="15" spans="1:33" s="28" customFormat="1" ht="20.25" customHeight="1">
      <c r="A15" s="319"/>
      <c r="B15" s="334"/>
      <c r="C15" s="138"/>
      <c r="D15" s="36"/>
      <c r="E15" s="30" t="s">
        <v>229</v>
      </c>
      <c r="F15" s="71">
        <v>1</v>
      </c>
      <c r="G15" s="72">
        <v>2</v>
      </c>
      <c r="H15" s="73">
        <v>3</v>
      </c>
      <c r="I15" s="74">
        <v>4</v>
      </c>
      <c r="J15" s="75">
        <v>5</v>
      </c>
      <c r="K15" s="76">
        <v>6</v>
      </c>
      <c r="L15" s="77">
        <v>7</v>
      </c>
      <c r="M15" s="78">
        <v>8</v>
      </c>
      <c r="N15" s="79">
        <v>9</v>
      </c>
      <c r="O15" s="80">
        <v>10</v>
      </c>
      <c r="P15" s="32"/>
      <c r="Q15" s="139"/>
      <c r="R15" s="334"/>
      <c r="S15" s="133">
        <f>VLOOKUP($E15,R.VL_DEQResourcesInvolved,2,FALSE)</f>
        <v>0</v>
      </c>
      <c r="T15" s="121">
        <f>VLOOKUP($E15,R.VL_DEQResourcesInvolved,3,FALSE)</f>
        <v>0</v>
      </c>
      <c r="U15" s="121">
        <f>IF(S15=10,T15,VLOOKUP($E15,R.VL_DEQResourcesInvolved,4,FALSE))</f>
        <v>0</v>
      </c>
      <c r="V15" s="575" t="s">
        <v>554</v>
      </c>
      <c r="W15" s="64"/>
      <c r="X15" s="64"/>
      <c r="Y15" s="64"/>
      <c r="Z15" s="64"/>
      <c r="AA15" s="64"/>
      <c r="AB15" s="64"/>
      <c r="AC15" s="64"/>
      <c r="AD15" s="130"/>
      <c r="AE15" s="130"/>
      <c r="AF15" s="130"/>
      <c r="AG15" s="130"/>
    </row>
    <row r="16" spans="1:33" s="28" customFormat="1" ht="20.25" hidden="1" customHeight="1" outlineLevel="1">
      <c r="A16" s="319"/>
      <c r="B16" s="334"/>
      <c r="C16" s="138"/>
      <c r="D16" s="36"/>
      <c r="E16" s="30" t="s">
        <v>229</v>
      </c>
      <c r="F16" s="71">
        <v>1</v>
      </c>
      <c r="G16" s="72">
        <v>2</v>
      </c>
      <c r="H16" s="73">
        <v>3</v>
      </c>
      <c r="I16" s="74">
        <v>4</v>
      </c>
      <c r="J16" s="75">
        <v>5</v>
      </c>
      <c r="K16" s="76">
        <v>6</v>
      </c>
      <c r="L16" s="77">
        <v>7</v>
      </c>
      <c r="M16" s="78">
        <v>8</v>
      </c>
      <c r="N16" s="79">
        <v>9</v>
      </c>
      <c r="O16" s="80">
        <v>10</v>
      </c>
      <c r="P16" s="32"/>
      <c r="Q16" s="139"/>
      <c r="R16" s="334"/>
      <c r="S16" s="133">
        <f>VLOOKUP($E16,R.VL_DEQResourcesInvolved,2,FALSE)</f>
        <v>0</v>
      </c>
      <c r="T16" s="121">
        <f>VLOOKUP($E16,R.VL_DEQResourcesInvolved,3,FALSE)</f>
        <v>0</v>
      </c>
      <c r="U16" s="121">
        <f>IF(S16=10,T16,VLOOKUP($E16,R.VL_DEQResourcesInvolved,4,FALSE))</f>
        <v>0</v>
      </c>
      <c r="V16" s="64"/>
      <c r="W16" s="64"/>
      <c r="X16" s="64"/>
      <c r="Y16" s="64"/>
      <c r="Z16" s="64"/>
      <c r="AA16" s="64"/>
      <c r="AB16" s="64"/>
      <c r="AC16" s="64"/>
      <c r="AD16" s="130"/>
      <c r="AE16" s="130"/>
      <c r="AF16" s="130"/>
      <c r="AG16" s="130"/>
    </row>
    <row r="17" spans="1:33" s="28" customFormat="1" ht="20.25" hidden="1" customHeight="1" outlineLevel="1">
      <c r="A17" s="319"/>
      <c r="B17" s="334"/>
      <c r="C17" s="138"/>
      <c r="D17" s="36"/>
      <c r="E17" s="30" t="s">
        <v>229</v>
      </c>
      <c r="F17" s="71">
        <v>1</v>
      </c>
      <c r="G17" s="72">
        <v>2</v>
      </c>
      <c r="H17" s="73">
        <v>3</v>
      </c>
      <c r="I17" s="74">
        <v>4</v>
      </c>
      <c r="J17" s="75">
        <v>5</v>
      </c>
      <c r="K17" s="76">
        <v>6</v>
      </c>
      <c r="L17" s="77">
        <v>7</v>
      </c>
      <c r="M17" s="78">
        <v>8</v>
      </c>
      <c r="N17" s="79">
        <v>9</v>
      </c>
      <c r="O17" s="80">
        <v>10</v>
      </c>
      <c r="P17" s="32"/>
      <c r="Q17" s="139"/>
      <c r="R17" s="334"/>
      <c r="S17" s="133">
        <f>VLOOKUP($E17,R.VL_DEQResourcesInvolved,2,FALSE)</f>
        <v>0</v>
      </c>
      <c r="T17" s="121">
        <f>VLOOKUP($E17,R.VL_DEQResourcesInvolved,3,FALSE)</f>
        <v>0</v>
      </c>
      <c r="U17" s="121">
        <f>IF(S17=10,T17,VLOOKUP($E17,R.VL_DEQResourcesInvolved,4,FALSE))</f>
        <v>0</v>
      </c>
      <c r="V17" s="64"/>
      <c r="W17" s="64"/>
      <c r="X17" s="64"/>
      <c r="Y17" s="64"/>
      <c r="Z17" s="64"/>
      <c r="AA17" s="64"/>
      <c r="AB17" s="64"/>
      <c r="AC17" s="64"/>
      <c r="AD17" s="130"/>
      <c r="AE17" s="130"/>
      <c r="AF17" s="130"/>
      <c r="AG17" s="130"/>
    </row>
    <row r="18" spans="1:33" s="28" customFormat="1" ht="20.25" hidden="1" customHeight="1" outlineLevel="1">
      <c r="A18" s="319"/>
      <c r="B18" s="334"/>
      <c r="C18" s="138"/>
      <c r="D18" s="36" t="s">
        <v>0</v>
      </c>
      <c r="E18" s="30" t="s">
        <v>229</v>
      </c>
      <c r="F18" s="71">
        <v>1</v>
      </c>
      <c r="G18" s="72">
        <v>2</v>
      </c>
      <c r="H18" s="73">
        <v>3</v>
      </c>
      <c r="I18" s="74">
        <v>4</v>
      </c>
      <c r="J18" s="75">
        <v>5</v>
      </c>
      <c r="K18" s="76">
        <v>6</v>
      </c>
      <c r="L18" s="77">
        <v>7</v>
      </c>
      <c r="M18" s="78">
        <v>8</v>
      </c>
      <c r="N18" s="79">
        <v>9</v>
      </c>
      <c r="O18" s="80">
        <v>10</v>
      </c>
      <c r="P18" s="32" t="s">
        <v>0</v>
      </c>
      <c r="Q18" s="139"/>
      <c r="R18" s="334"/>
      <c r="S18" s="133">
        <f>VLOOKUP($E18,R.VL_DEQResourcesInvolved,2,FALSE)</f>
        <v>0</v>
      </c>
      <c r="T18" s="121">
        <f>VLOOKUP($E18,R.VL_DEQResourcesInvolved,3,FALSE)</f>
        <v>0</v>
      </c>
      <c r="U18" s="121">
        <f>IF(S18=10,T18,VLOOKUP($E18,R.VL_DEQResourcesInvolved,4,FALSE))</f>
        <v>0</v>
      </c>
      <c r="V18" s="64"/>
      <c r="W18" s="64"/>
      <c r="X18" s="64"/>
      <c r="Y18" s="64"/>
      <c r="Z18" s="64"/>
      <c r="AA18" s="64"/>
      <c r="AB18" s="64"/>
      <c r="AC18" s="64"/>
      <c r="AD18" s="130"/>
      <c r="AE18" s="130"/>
      <c r="AF18" s="130"/>
      <c r="AG18" s="130"/>
    </row>
    <row r="19" spans="1:33" s="28" customFormat="1" ht="14.25" customHeight="1" collapsed="1">
      <c r="A19" s="319"/>
      <c r="B19" s="334"/>
      <c r="C19" s="245"/>
      <c r="D19" s="442" t="s">
        <v>52</v>
      </c>
      <c r="E19" s="31"/>
      <c r="F19" s="31"/>
      <c r="G19" s="31"/>
      <c r="H19" s="31"/>
      <c r="I19" s="31"/>
      <c r="J19" s="31"/>
      <c r="K19" s="31"/>
      <c r="L19" s="31"/>
      <c r="M19" s="31"/>
      <c r="N19" s="31"/>
      <c r="O19" s="31"/>
      <c r="P19" s="31"/>
      <c r="Q19" s="143"/>
      <c r="R19" s="334"/>
      <c r="S19" s="499" t="s">
        <v>0</v>
      </c>
      <c r="T19" s="229"/>
      <c r="U19" s="229"/>
      <c r="V19" s="236"/>
      <c r="W19" s="236"/>
      <c r="X19" s="236"/>
      <c r="Y19" s="236"/>
      <c r="Z19" s="236"/>
      <c r="AA19" s="236"/>
      <c r="AB19" s="236"/>
      <c r="AC19" s="236"/>
      <c r="AD19" s="130"/>
      <c r="AE19" s="130"/>
      <c r="AF19" s="130"/>
      <c r="AG19" s="130"/>
    </row>
    <row r="20" spans="1:33" s="28" customFormat="1" ht="20.25" customHeight="1">
      <c r="A20" s="319"/>
      <c r="B20" s="334"/>
      <c r="C20" s="138"/>
      <c r="D20" s="734"/>
      <c r="E20" s="735"/>
      <c r="F20" s="735"/>
      <c r="G20" s="735"/>
      <c r="H20" s="735"/>
      <c r="I20" s="735"/>
      <c r="J20" s="735"/>
      <c r="K20" s="735"/>
      <c r="L20" s="735"/>
      <c r="M20" s="735"/>
      <c r="N20" s="735"/>
      <c r="O20" s="735"/>
      <c r="P20" s="736"/>
      <c r="Q20" s="139"/>
      <c r="R20" s="334"/>
      <c r="S20" s="499" t="s">
        <v>0</v>
      </c>
      <c r="T20" s="131"/>
      <c r="U20" s="131"/>
      <c r="V20" s="64"/>
      <c r="W20" s="64"/>
      <c r="X20" s="64"/>
      <c r="Y20" s="64"/>
      <c r="Z20" s="64"/>
      <c r="AA20" s="64"/>
      <c r="AB20" s="64"/>
      <c r="AC20" s="64"/>
      <c r="AD20" s="130"/>
      <c r="AE20" s="130"/>
      <c r="AF20" s="130"/>
      <c r="AG20" s="130"/>
    </row>
    <row r="21" spans="1:33" s="33" customFormat="1" ht="14.25" customHeight="1">
      <c r="A21" s="319"/>
      <c r="B21" s="334"/>
      <c r="C21" s="232"/>
      <c r="D21" s="442" t="s">
        <v>60</v>
      </c>
      <c r="E21" s="292" t="s">
        <v>18</v>
      </c>
      <c r="F21" s="292" t="s">
        <v>19</v>
      </c>
      <c r="G21" s="292"/>
      <c r="H21" s="292"/>
      <c r="I21" s="292"/>
      <c r="J21" s="292"/>
      <c r="K21" s="292"/>
      <c r="L21" s="292"/>
      <c r="M21" s="292"/>
      <c r="N21" s="292"/>
      <c r="O21" s="292"/>
      <c r="P21" s="292" t="s">
        <v>20</v>
      </c>
      <c r="Q21" s="137"/>
      <c r="R21" s="334"/>
      <c r="S21" s="499" t="s">
        <v>0</v>
      </c>
      <c r="T21" s="229"/>
      <c r="U21" s="229"/>
      <c r="V21" s="230"/>
      <c r="W21" s="230"/>
      <c r="X21" s="230"/>
      <c r="Y21" s="230"/>
      <c r="Z21" s="230"/>
      <c r="AA21" s="230"/>
      <c r="AB21" s="230"/>
      <c r="AC21" s="230"/>
      <c r="AD21" s="127"/>
      <c r="AE21" s="127"/>
      <c r="AF21" s="127"/>
      <c r="AG21" s="127"/>
    </row>
    <row r="22" spans="1:33" s="28" customFormat="1" ht="20.25" customHeight="1">
      <c r="A22" s="319"/>
      <c r="B22" s="334"/>
      <c r="C22" s="138"/>
      <c r="D22" s="36"/>
      <c r="E22" s="30" t="s">
        <v>229</v>
      </c>
      <c r="F22" s="71">
        <v>1</v>
      </c>
      <c r="G22" s="72">
        <v>2</v>
      </c>
      <c r="H22" s="73">
        <v>3</v>
      </c>
      <c r="I22" s="74">
        <v>4</v>
      </c>
      <c r="J22" s="75">
        <v>5</v>
      </c>
      <c r="K22" s="76">
        <v>6</v>
      </c>
      <c r="L22" s="77">
        <v>7</v>
      </c>
      <c r="M22" s="78">
        <v>8</v>
      </c>
      <c r="N22" s="79">
        <v>9</v>
      </c>
      <c r="O22" s="80">
        <v>10</v>
      </c>
      <c r="P22" s="32"/>
      <c r="Q22" s="139"/>
      <c r="R22" s="334"/>
      <c r="S22" s="133">
        <f>VLOOKUP($E22,R.VL_DEQResourcesInvolved,2,FALSE)</f>
        <v>0</v>
      </c>
      <c r="T22" s="121">
        <f>VLOOKUP($E22,R.VL_DEQResourcesInvolved,3,FALSE)</f>
        <v>0</v>
      </c>
      <c r="U22" s="121">
        <f>IF(S22=10,T22,VLOOKUP($E22,R.VL_DEQResourcesInvolved,4,FALSE))</f>
        <v>0</v>
      </c>
      <c r="V22" s="575" t="s">
        <v>554</v>
      </c>
      <c r="W22" s="64"/>
      <c r="X22" s="64"/>
      <c r="Y22" s="64"/>
      <c r="Z22" s="64"/>
      <c r="AA22" s="64"/>
      <c r="AB22" s="64"/>
      <c r="AC22" s="64"/>
      <c r="AD22" s="130"/>
      <c r="AE22" s="130"/>
      <c r="AF22" s="130"/>
      <c r="AG22" s="130"/>
    </row>
    <row r="23" spans="1:33" s="28" customFormat="1" ht="20.25" hidden="1" customHeight="1" outlineLevel="1">
      <c r="A23" s="319"/>
      <c r="B23" s="334"/>
      <c r="C23" s="138"/>
      <c r="D23" s="36" t="s">
        <v>0</v>
      </c>
      <c r="E23" s="30" t="s">
        <v>229</v>
      </c>
      <c r="F23" s="71">
        <v>1</v>
      </c>
      <c r="G23" s="72">
        <v>2</v>
      </c>
      <c r="H23" s="73">
        <v>3</v>
      </c>
      <c r="I23" s="74">
        <v>4</v>
      </c>
      <c r="J23" s="75">
        <v>5</v>
      </c>
      <c r="K23" s="76">
        <v>6</v>
      </c>
      <c r="L23" s="77">
        <v>7</v>
      </c>
      <c r="M23" s="78">
        <v>8</v>
      </c>
      <c r="N23" s="79">
        <v>9</v>
      </c>
      <c r="O23" s="80">
        <v>10</v>
      </c>
      <c r="P23" s="32" t="s">
        <v>0</v>
      </c>
      <c r="Q23" s="139"/>
      <c r="R23" s="334"/>
      <c r="S23" s="133">
        <f>VLOOKUP($E23,R.VL_DEQResourcesInvolved,2,FALSE)</f>
        <v>0</v>
      </c>
      <c r="T23" s="121">
        <f>VLOOKUP($E23,R.VL_DEQResourcesInvolved,3,FALSE)</f>
        <v>0</v>
      </c>
      <c r="U23" s="121">
        <f>IF(S23=10,T23,VLOOKUP($E23,R.VL_DEQResourcesInvolved,4,FALSE))</f>
        <v>0</v>
      </c>
      <c r="V23" s="64"/>
      <c r="W23" s="64"/>
      <c r="X23" s="64"/>
      <c r="Y23" s="64"/>
      <c r="Z23" s="64"/>
      <c r="AA23" s="64"/>
      <c r="AB23" s="64"/>
      <c r="AC23" s="64"/>
      <c r="AD23" s="130"/>
      <c r="AE23" s="130"/>
      <c r="AF23" s="130"/>
      <c r="AG23" s="130"/>
    </row>
    <row r="24" spans="1:33" s="28" customFormat="1" ht="20.25" hidden="1" customHeight="1" outlineLevel="1">
      <c r="A24" s="319"/>
      <c r="B24" s="334"/>
      <c r="C24" s="138"/>
      <c r="D24" s="36" t="s">
        <v>0</v>
      </c>
      <c r="E24" s="30" t="s">
        <v>229</v>
      </c>
      <c r="F24" s="71">
        <v>1</v>
      </c>
      <c r="G24" s="72">
        <v>2</v>
      </c>
      <c r="H24" s="73">
        <v>3</v>
      </c>
      <c r="I24" s="74">
        <v>4</v>
      </c>
      <c r="J24" s="75">
        <v>5</v>
      </c>
      <c r="K24" s="76">
        <v>6</v>
      </c>
      <c r="L24" s="77">
        <v>7</v>
      </c>
      <c r="M24" s="78">
        <v>8</v>
      </c>
      <c r="N24" s="79">
        <v>9</v>
      </c>
      <c r="O24" s="80">
        <v>10</v>
      </c>
      <c r="P24" s="32" t="s">
        <v>0</v>
      </c>
      <c r="Q24" s="139"/>
      <c r="R24" s="334"/>
      <c r="S24" s="133">
        <f>VLOOKUP($E24,R.VL_DEQResourcesInvolved,2,FALSE)</f>
        <v>0</v>
      </c>
      <c r="T24" s="121">
        <f>VLOOKUP($E24,R.VL_DEQResourcesInvolved,3,FALSE)</f>
        <v>0</v>
      </c>
      <c r="U24" s="121">
        <f>IF(S24=10,T24,VLOOKUP($E24,R.VL_DEQResourcesInvolved,4,FALSE))</f>
        <v>0</v>
      </c>
      <c r="V24" s="64"/>
      <c r="W24" s="64"/>
      <c r="X24" s="64"/>
      <c r="Y24" s="64"/>
      <c r="Z24" s="64"/>
      <c r="AA24" s="64"/>
      <c r="AB24" s="64"/>
      <c r="AC24" s="64"/>
      <c r="AD24" s="130"/>
      <c r="AE24" s="130"/>
      <c r="AF24" s="130"/>
      <c r="AG24" s="130"/>
    </row>
    <row r="25" spans="1:33" s="28" customFormat="1" ht="20.25" hidden="1" customHeight="1" outlineLevel="1">
      <c r="A25" s="319"/>
      <c r="B25" s="334"/>
      <c r="C25" s="138"/>
      <c r="D25" s="36" t="s">
        <v>0</v>
      </c>
      <c r="E25" s="30" t="s">
        <v>229</v>
      </c>
      <c r="F25" s="71">
        <v>1</v>
      </c>
      <c r="G25" s="72">
        <v>2</v>
      </c>
      <c r="H25" s="73">
        <v>3</v>
      </c>
      <c r="I25" s="74">
        <v>4</v>
      </c>
      <c r="J25" s="75">
        <v>5</v>
      </c>
      <c r="K25" s="76">
        <v>6</v>
      </c>
      <c r="L25" s="77">
        <v>7</v>
      </c>
      <c r="M25" s="78">
        <v>8</v>
      </c>
      <c r="N25" s="79">
        <v>9</v>
      </c>
      <c r="O25" s="80">
        <v>10</v>
      </c>
      <c r="P25" s="32" t="s">
        <v>0</v>
      </c>
      <c r="Q25" s="139"/>
      <c r="R25" s="334"/>
      <c r="S25" s="133">
        <f>VLOOKUP($E25,R.VL_DEQResourcesInvolved,2,FALSE)</f>
        <v>0</v>
      </c>
      <c r="T25" s="121">
        <f>VLOOKUP($E25,R.VL_DEQResourcesInvolved,3,FALSE)</f>
        <v>0</v>
      </c>
      <c r="U25" s="121">
        <f>IF(S25=10,T25,VLOOKUP($E25,R.VL_DEQResourcesInvolved,4,FALSE))</f>
        <v>0</v>
      </c>
      <c r="V25" s="64"/>
      <c r="W25" s="64"/>
      <c r="X25" s="64"/>
      <c r="Y25" s="64"/>
      <c r="Z25" s="64"/>
      <c r="AA25" s="64"/>
      <c r="AB25" s="64"/>
      <c r="AC25" s="64"/>
      <c r="AD25" s="130"/>
      <c r="AE25" s="130"/>
      <c r="AF25" s="130"/>
      <c r="AG25" s="130"/>
    </row>
    <row r="26" spans="1:33" s="28" customFormat="1" ht="14.25" customHeight="1" collapsed="1">
      <c r="A26" s="319"/>
      <c r="B26" s="334"/>
      <c r="C26" s="376"/>
      <c r="D26" s="481"/>
      <c r="E26" s="739"/>
      <c r="F26" s="739"/>
      <c r="G26" s="739"/>
      <c r="H26" s="739"/>
      <c r="I26" s="739"/>
      <c r="J26" s="739"/>
      <c r="K26" s="739"/>
      <c r="L26" s="739"/>
      <c r="M26" s="739"/>
      <c r="N26" s="739"/>
      <c r="O26" s="739"/>
      <c r="P26" s="739"/>
      <c r="Q26" s="379"/>
      <c r="R26" s="334"/>
      <c r="S26" s="499"/>
      <c r="T26" s="131"/>
      <c r="U26" s="131"/>
      <c r="V26" s="64"/>
      <c r="W26" s="64"/>
      <c r="X26" s="64"/>
      <c r="Y26" s="64"/>
      <c r="Z26" s="64"/>
      <c r="AA26" s="64"/>
      <c r="AB26" s="64"/>
      <c r="AC26" s="64"/>
      <c r="AD26" s="130"/>
      <c r="AE26" s="130"/>
      <c r="AF26" s="130"/>
      <c r="AG26" s="130"/>
    </row>
    <row r="27" spans="1:33" s="33" customFormat="1" ht="30" customHeight="1">
      <c r="A27" s="350" t="s">
        <v>107</v>
      </c>
      <c r="B27" s="334"/>
      <c r="C27" s="136"/>
      <c r="D27" s="304" t="s">
        <v>141</v>
      </c>
      <c r="E27" s="302"/>
      <c r="F27" s="94"/>
      <c r="G27" s="94"/>
      <c r="H27" s="94"/>
      <c r="I27" s="94"/>
      <c r="J27" s="94"/>
      <c r="K27" s="94"/>
      <c r="L27" s="94"/>
      <c r="M27" s="94"/>
      <c r="N27" s="94"/>
      <c r="O27" s="94"/>
      <c r="P27" s="94"/>
      <c r="Q27" s="137"/>
      <c r="R27" s="334"/>
      <c r="S27" s="499"/>
      <c r="T27" s="131"/>
      <c r="U27" s="131"/>
      <c r="V27" s="129"/>
      <c r="W27" s="129"/>
      <c r="X27" s="129"/>
      <c r="Y27" s="129"/>
      <c r="Z27" s="129"/>
      <c r="AA27" s="129"/>
      <c r="AB27" s="129"/>
      <c r="AC27" s="129"/>
      <c r="AD27" s="127"/>
      <c r="AE27" s="127"/>
      <c r="AF27" s="127"/>
      <c r="AG27" s="127"/>
    </row>
    <row r="28" spans="1:33" s="33" customFormat="1" ht="14.25" customHeight="1">
      <c r="A28" s="350" t="s">
        <v>112</v>
      </c>
      <c r="B28" s="334"/>
      <c r="C28" s="136"/>
      <c r="D28" s="443" t="s">
        <v>53</v>
      </c>
      <c r="E28" s="94"/>
      <c r="F28" s="94"/>
      <c r="G28" s="94"/>
      <c r="H28" s="94"/>
      <c r="I28" s="94"/>
      <c r="J28" s="94"/>
      <c r="K28" s="94"/>
      <c r="L28" s="94"/>
      <c r="M28" s="94"/>
      <c r="N28" s="94"/>
      <c r="O28" s="94"/>
      <c r="P28" s="94"/>
      <c r="Q28" s="137"/>
      <c r="R28" s="334"/>
      <c r="S28" s="499"/>
      <c r="T28" s="131"/>
      <c r="U28" s="131"/>
      <c r="V28" s="129"/>
      <c r="W28" s="129"/>
      <c r="X28" s="129"/>
      <c r="Y28" s="129"/>
      <c r="Z28" s="129"/>
      <c r="AA28" s="129"/>
      <c r="AB28" s="129"/>
      <c r="AC28" s="129"/>
      <c r="AD28" s="127"/>
      <c r="AE28" s="127"/>
      <c r="AF28" s="127"/>
      <c r="AG28" s="127"/>
    </row>
    <row r="29" spans="1:33" s="28" customFormat="1" ht="20.25" customHeight="1">
      <c r="A29" s="319"/>
      <c r="B29" s="334"/>
      <c r="C29" s="138"/>
      <c r="D29" s="719"/>
      <c r="E29" s="720"/>
      <c r="F29" s="720"/>
      <c r="G29" s="720"/>
      <c r="H29" s="720"/>
      <c r="I29" s="720"/>
      <c r="J29" s="720"/>
      <c r="K29" s="720"/>
      <c r="L29" s="720"/>
      <c r="M29" s="720"/>
      <c r="N29" s="720"/>
      <c r="O29" s="720"/>
      <c r="P29" s="721"/>
      <c r="Q29" s="139"/>
      <c r="R29" s="334"/>
      <c r="S29" s="499"/>
      <c r="T29" s="131"/>
      <c r="U29" s="131"/>
      <c r="V29" s="64"/>
      <c r="W29" s="64"/>
      <c r="X29" s="64"/>
      <c r="Y29" s="64"/>
      <c r="Z29" s="64"/>
      <c r="AA29" s="64"/>
      <c r="AB29" s="64"/>
      <c r="AC29" s="64"/>
      <c r="AD29" s="130"/>
      <c r="AE29" s="130"/>
      <c r="AF29" s="130"/>
      <c r="AG29" s="130"/>
    </row>
    <row r="30" spans="1:33" s="33" customFormat="1" ht="14.25" customHeight="1">
      <c r="A30" s="319"/>
      <c r="B30" s="334"/>
      <c r="C30" s="136"/>
      <c r="D30" s="442" t="s">
        <v>60</v>
      </c>
      <c r="E30" s="105" t="s">
        <v>18</v>
      </c>
      <c r="F30" s="105" t="s">
        <v>19</v>
      </c>
      <c r="G30" s="105"/>
      <c r="H30" s="105"/>
      <c r="I30" s="105"/>
      <c r="J30" s="105"/>
      <c r="K30" s="105"/>
      <c r="L30" s="105"/>
      <c r="M30" s="105"/>
      <c r="N30" s="105"/>
      <c r="O30" s="105"/>
      <c r="P30" s="105" t="s">
        <v>20</v>
      </c>
      <c r="Q30" s="137"/>
      <c r="R30" s="334"/>
      <c r="S30" s="499"/>
      <c r="T30" s="131"/>
      <c r="U30" s="131"/>
      <c r="V30" s="129"/>
      <c r="W30" s="129"/>
      <c r="X30" s="129"/>
      <c r="Y30" s="129"/>
      <c r="Z30" s="129"/>
      <c r="AA30" s="129"/>
      <c r="AB30" s="129"/>
      <c r="AC30" s="129"/>
      <c r="AD30" s="127"/>
      <c r="AE30" s="127"/>
      <c r="AF30" s="127"/>
      <c r="AG30" s="127"/>
    </row>
    <row r="31" spans="1:33" s="28" customFormat="1" ht="20.25" customHeight="1">
      <c r="A31" s="319"/>
      <c r="B31" s="334"/>
      <c r="C31" s="138"/>
      <c r="D31" s="36"/>
      <c r="E31" s="30" t="s">
        <v>229</v>
      </c>
      <c r="F31" s="71">
        <v>1</v>
      </c>
      <c r="G31" s="72">
        <v>2</v>
      </c>
      <c r="H31" s="73">
        <v>3</v>
      </c>
      <c r="I31" s="74">
        <v>4</v>
      </c>
      <c r="J31" s="75">
        <v>5</v>
      </c>
      <c r="K31" s="76">
        <v>6</v>
      </c>
      <c r="L31" s="77">
        <v>7</v>
      </c>
      <c r="M31" s="78">
        <v>8</v>
      </c>
      <c r="N31" s="79">
        <v>9</v>
      </c>
      <c r="O31" s="80">
        <v>10</v>
      </c>
      <c r="P31" s="32"/>
      <c r="Q31" s="139"/>
      <c r="R31" s="334"/>
      <c r="S31" s="133">
        <f>VLOOKUP($E31,R.VL_DEQResourcesInvolved,2,FALSE)</f>
        <v>0</v>
      </c>
      <c r="T31" s="121">
        <f>VLOOKUP($E31,R.VL_DEQResourcesInvolved,3,FALSE)</f>
        <v>0</v>
      </c>
      <c r="U31" s="121">
        <f>IF(S31=10,T31,VLOOKUP($E31,R.VL_DEQResourcesInvolved,4,FALSE))</f>
        <v>0</v>
      </c>
      <c r="V31" s="575" t="s">
        <v>554</v>
      </c>
      <c r="W31" s="64"/>
      <c r="X31" s="64"/>
      <c r="Y31" s="64"/>
      <c r="Z31" s="64"/>
      <c r="AA31" s="64"/>
      <c r="AB31" s="64"/>
      <c r="AC31" s="64"/>
      <c r="AD31" s="130"/>
      <c r="AE31" s="130"/>
      <c r="AF31" s="130"/>
      <c r="AG31" s="130"/>
    </row>
    <row r="32" spans="1:33" s="28" customFormat="1" ht="20.25" hidden="1" customHeight="1" outlineLevel="1">
      <c r="A32" s="319"/>
      <c r="B32" s="334"/>
      <c r="C32" s="138"/>
      <c r="D32" s="36" t="s">
        <v>0</v>
      </c>
      <c r="E32" s="30" t="s">
        <v>229</v>
      </c>
      <c r="F32" s="71">
        <v>1</v>
      </c>
      <c r="G32" s="72">
        <v>2</v>
      </c>
      <c r="H32" s="73">
        <v>3</v>
      </c>
      <c r="I32" s="74">
        <v>4</v>
      </c>
      <c r="J32" s="75">
        <v>5</v>
      </c>
      <c r="K32" s="76">
        <v>6</v>
      </c>
      <c r="L32" s="77">
        <v>7</v>
      </c>
      <c r="M32" s="78">
        <v>8</v>
      </c>
      <c r="N32" s="79">
        <v>9</v>
      </c>
      <c r="O32" s="80">
        <v>10</v>
      </c>
      <c r="P32" s="32" t="s">
        <v>0</v>
      </c>
      <c r="Q32" s="139"/>
      <c r="R32" s="334"/>
      <c r="S32" s="133">
        <f>VLOOKUP($E32,R.VL_DEQResourcesInvolved,2,FALSE)</f>
        <v>0</v>
      </c>
      <c r="T32" s="121">
        <f>VLOOKUP($E32,R.VL_DEQResourcesInvolved,3,FALSE)</f>
        <v>0</v>
      </c>
      <c r="U32" s="121">
        <f>IF(S32=10,T32,VLOOKUP($E32,R.VL_DEQResourcesInvolved,4,FALSE))</f>
        <v>0</v>
      </c>
      <c r="V32" s="64"/>
      <c r="W32" s="64"/>
      <c r="X32" s="64"/>
      <c r="Y32" s="64"/>
      <c r="Z32" s="64"/>
      <c r="AA32" s="64"/>
      <c r="AB32" s="64"/>
      <c r="AC32" s="64"/>
      <c r="AD32" s="130"/>
      <c r="AE32" s="130"/>
      <c r="AF32" s="130"/>
      <c r="AG32" s="130"/>
    </row>
    <row r="33" spans="1:33" s="28" customFormat="1" ht="20.25" hidden="1" customHeight="1" outlineLevel="1">
      <c r="A33" s="319"/>
      <c r="B33" s="334"/>
      <c r="C33" s="138"/>
      <c r="D33" s="36" t="s">
        <v>0</v>
      </c>
      <c r="E33" s="30" t="s">
        <v>229</v>
      </c>
      <c r="F33" s="71">
        <v>1</v>
      </c>
      <c r="G33" s="72">
        <v>2</v>
      </c>
      <c r="H33" s="73">
        <v>3</v>
      </c>
      <c r="I33" s="74">
        <v>4</v>
      </c>
      <c r="J33" s="75">
        <v>5</v>
      </c>
      <c r="K33" s="76">
        <v>6</v>
      </c>
      <c r="L33" s="77">
        <v>7</v>
      </c>
      <c r="M33" s="78">
        <v>8</v>
      </c>
      <c r="N33" s="79">
        <v>9</v>
      </c>
      <c r="O33" s="80">
        <v>10</v>
      </c>
      <c r="P33" s="32" t="s">
        <v>0</v>
      </c>
      <c r="Q33" s="139"/>
      <c r="R33" s="334"/>
      <c r="S33" s="133">
        <f>VLOOKUP($E33,R.VL_DEQResourcesInvolved,2,FALSE)</f>
        <v>0</v>
      </c>
      <c r="T33" s="121">
        <f>VLOOKUP($E33,R.VL_DEQResourcesInvolved,3,FALSE)</f>
        <v>0</v>
      </c>
      <c r="U33" s="121">
        <f>IF(S33=10,T33,VLOOKUP($E33,R.VL_DEQResourcesInvolved,4,FALSE))</f>
        <v>0</v>
      </c>
      <c r="V33" s="64"/>
      <c r="W33" s="64"/>
      <c r="X33" s="64"/>
      <c r="Y33" s="64"/>
      <c r="Z33" s="64"/>
      <c r="AA33" s="64"/>
      <c r="AB33" s="64"/>
      <c r="AC33" s="64"/>
      <c r="AD33" s="130"/>
      <c r="AE33" s="130"/>
      <c r="AF33" s="130"/>
      <c r="AG33" s="130"/>
    </row>
    <row r="34" spans="1:33" s="28" customFormat="1" ht="20.25" hidden="1" customHeight="1" outlineLevel="1">
      <c r="A34" s="319"/>
      <c r="B34" s="334"/>
      <c r="C34" s="138"/>
      <c r="D34" s="36" t="s">
        <v>0</v>
      </c>
      <c r="E34" s="30" t="s">
        <v>229</v>
      </c>
      <c r="F34" s="71">
        <v>1</v>
      </c>
      <c r="G34" s="72">
        <v>2</v>
      </c>
      <c r="H34" s="73">
        <v>3</v>
      </c>
      <c r="I34" s="74">
        <v>4</v>
      </c>
      <c r="J34" s="75">
        <v>5</v>
      </c>
      <c r="K34" s="76">
        <v>6</v>
      </c>
      <c r="L34" s="77">
        <v>7</v>
      </c>
      <c r="M34" s="78">
        <v>8</v>
      </c>
      <c r="N34" s="79">
        <v>9</v>
      </c>
      <c r="O34" s="80">
        <v>10</v>
      </c>
      <c r="P34" s="32" t="s">
        <v>0</v>
      </c>
      <c r="Q34" s="139"/>
      <c r="R34" s="334"/>
      <c r="S34" s="133">
        <f>VLOOKUP($E34,R.VL_DEQResourcesInvolved,2,FALSE)</f>
        <v>0</v>
      </c>
      <c r="T34" s="121">
        <f>VLOOKUP($E34,R.VL_DEQResourcesInvolved,3,FALSE)</f>
        <v>0</v>
      </c>
      <c r="U34" s="121">
        <f>IF(S34=10,T34,VLOOKUP($E34,R.VL_DEQResourcesInvolved,4,FALSE))</f>
        <v>0</v>
      </c>
      <c r="V34" s="64"/>
      <c r="W34" s="64"/>
      <c r="X34" s="64"/>
      <c r="Y34" s="64"/>
      <c r="Z34" s="64"/>
      <c r="AA34" s="64"/>
      <c r="AB34" s="64"/>
      <c r="AC34" s="64"/>
      <c r="AD34" s="130"/>
      <c r="AE34" s="130"/>
      <c r="AF34" s="130"/>
      <c r="AG34" s="130"/>
    </row>
    <row r="35" spans="1:33" s="28" customFormat="1" ht="14.25" customHeight="1" collapsed="1">
      <c r="A35" s="319"/>
      <c r="B35" s="334"/>
      <c r="C35" s="142"/>
      <c r="D35" s="443" t="s">
        <v>52</v>
      </c>
      <c r="E35" s="31"/>
      <c r="F35" s="31"/>
      <c r="G35" s="31"/>
      <c r="H35" s="31"/>
      <c r="I35" s="31"/>
      <c r="J35" s="31"/>
      <c r="K35" s="31"/>
      <c r="L35" s="31"/>
      <c r="M35" s="31"/>
      <c r="N35" s="31"/>
      <c r="O35" s="31"/>
      <c r="P35" s="31"/>
      <c r="Q35" s="143"/>
      <c r="R35" s="334"/>
      <c r="S35" s="499"/>
      <c r="T35" s="131"/>
      <c r="U35" s="131"/>
      <c r="V35" s="64"/>
      <c r="W35" s="64"/>
      <c r="X35" s="64"/>
      <c r="Y35" s="64"/>
      <c r="Z35" s="64"/>
      <c r="AA35" s="64"/>
      <c r="AB35" s="64"/>
      <c r="AC35" s="64"/>
      <c r="AD35" s="130"/>
      <c r="AE35" s="130"/>
      <c r="AF35" s="130"/>
      <c r="AG35" s="130"/>
    </row>
    <row r="36" spans="1:33" s="28" customFormat="1" ht="20.25" customHeight="1">
      <c r="A36" s="319"/>
      <c r="B36" s="334"/>
      <c r="C36" s="138"/>
      <c r="D36" s="724"/>
      <c r="E36" s="725"/>
      <c r="F36" s="725"/>
      <c r="G36" s="725"/>
      <c r="H36" s="725"/>
      <c r="I36" s="725"/>
      <c r="J36" s="725"/>
      <c r="K36" s="725"/>
      <c r="L36" s="725"/>
      <c r="M36" s="725"/>
      <c r="N36" s="725"/>
      <c r="O36" s="725"/>
      <c r="P36" s="726"/>
      <c r="Q36" s="139"/>
      <c r="R36" s="334"/>
      <c r="S36" s="499"/>
      <c r="T36" s="131"/>
      <c r="U36" s="131"/>
      <c r="V36" s="64"/>
      <c r="W36" s="64"/>
      <c r="X36" s="64"/>
      <c r="Y36" s="64"/>
      <c r="Z36" s="64"/>
      <c r="AA36" s="64"/>
      <c r="AB36" s="64"/>
      <c r="AC36" s="64"/>
      <c r="AD36" s="130"/>
      <c r="AE36" s="130"/>
      <c r="AF36" s="130"/>
      <c r="AG36" s="130"/>
    </row>
    <row r="37" spans="1:33" s="33" customFormat="1" ht="14.25" customHeight="1">
      <c r="A37" s="319"/>
      <c r="B37" s="334"/>
      <c r="C37" s="232"/>
      <c r="D37" s="442" t="s">
        <v>60</v>
      </c>
      <c r="E37" s="159" t="s">
        <v>18</v>
      </c>
      <c r="F37" s="159" t="s">
        <v>19</v>
      </c>
      <c r="G37" s="159"/>
      <c r="H37" s="159"/>
      <c r="I37" s="159"/>
      <c r="J37" s="159"/>
      <c r="K37" s="159"/>
      <c r="L37" s="159"/>
      <c r="M37" s="159"/>
      <c r="N37" s="159"/>
      <c r="O37" s="159"/>
      <c r="P37" s="159" t="s">
        <v>20</v>
      </c>
      <c r="Q37" s="137"/>
      <c r="R37" s="334"/>
      <c r="S37" s="499"/>
      <c r="T37" s="229"/>
      <c r="U37" s="229"/>
      <c r="V37" s="230"/>
      <c r="W37" s="230"/>
      <c r="X37" s="230"/>
      <c r="Y37" s="230"/>
      <c r="Z37" s="230"/>
      <c r="AA37" s="230"/>
      <c r="AB37" s="230"/>
      <c r="AC37" s="230"/>
      <c r="AD37" s="127"/>
      <c r="AE37" s="127"/>
      <c r="AF37" s="127"/>
      <c r="AG37" s="127"/>
    </row>
    <row r="38" spans="1:33" s="28" customFormat="1" ht="20.25" customHeight="1">
      <c r="A38" s="319"/>
      <c r="B38" s="334"/>
      <c r="C38" s="138"/>
      <c r="D38" s="36"/>
      <c r="E38" s="30" t="s">
        <v>229</v>
      </c>
      <c r="F38" s="71">
        <v>1</v>
      </c>
      <c r="G38" s="72">
        <v>2</v>
      </c>
      <c r="H38" s="73">
        <v>3</v>
      </c>
      <c r="I38" s="74">
        <v>4</v>
      </c>
      <c r="J38" s="75">
        <v>5</v>
      </c>
      <c r="K38" s="76">
        <v>6</v>
      </c>
      <c r="L38" s="77">
        <v>7</v>
      </c>
      <c r="M38" s="78">
        <v>8</v>
      </c>
      <c r="N38" s="79">
        <v>9</v>
      </c>
      <c r="O38" s="80">
        <v>10</v>
      </c>
      <c r="P38" s="32"/>
      <c r="Q38" s="139"/>
      <c r="R38" s="334"/>
      <c r="S38" s="133">
        <f>VLOOKUP($E38,R.VL_DEQResourcesInvolved,2,FALSE)</f>
        <v>0</v>
      </c>
      <c r="T38" s="121">
        <f>VLOOKUP($E38,R.VL_DEQResourcesInvolved,3,FALSE)</f>
        <v>0</v>
      </c>
      <c r="U38" s="121">
        <f>IF(S38=10,T38,VLOOKUP($E38,R.VL_DEQResourcesInvolved,4,FALSE))</f>
        <v>0</v>
      </c>
      <c r="V38" s="575" t="s">
        <v>554</v>
      </c>
      <c r="W38" s="64"/>
      <c r="X38" s="64"/>
      <c r="Y38" s="64"/>
      <c r="Z38" s="64"/>
      <c r="AA38" s="64"/>
      <c r="AB38" s="64"/>
      <c r="AC38" s="64"/>
      <c r="AD38" s="130"/>
      <c r="AE38" s="130"/>
      <c r="AF38" s="130"/>
      <c r="AG38" s="130"/>
    </row>
    <row r="39" spans="1:33" s="28" customFormat="1" ht="20.25" hidden="1" customHeight="1" outlineLevel="1">
      <c r="A39" s="319"/>
      <c r="B39" s="334"/>
      <c r="C39" s="138"/>
      <c r="D39" s="36" t="s">
        <v>0</v>
      </c>
      <c r="E39" s="30" t="s">
        <v>229</v>
      </c>
      <c r="F39" s="71">
        <v>1</v>
      </c>
      <c r="G39" s="72">
        <v>2</v>
      </c>
      <c r="H39" s="73">
        <v>3</v>
      </c>
      <c r="I39" s="74">
        <v>4</v>
      </c>
      <c r="J39" s="75">
        <v>5</v>
      </c>
      <c r="K39" s="76">
        <v>6</v>
      </c>
      <c r="L39" s="77">
        <v>7</v>
      </c>
      <c r="M39" s="78">
        <v>8</v>
      </c>
      <c r="N39" s="79">
        <v>9</v>
      </c>
      <c r="O39" s="80">
        <v>10</v>
      </c>
      <c r="P39" s="32" t="s">
        <v>0</v>
      </c>
      <c r="Q39" s="139"/>
      <c r="R39" s="334"/>
      <c r="S39" s="133">
        <f>VLOOKUP($E39,R.VL_DEQResourcesInvolved,2,FALSE)</f>
        <v>0</v>
      </c>
      <c r="T39" s="121">
        <f>VLOOKUP($E39,R.VL_DEQResourcesInvolved,3,FALSE)</f>
        <v>0</v>
      </c>
      <c r="U39" s="121">
        <f>IF(S39=10,T39,VLOOKUP($E39,R.VL_DEQResourcesInvolved,4,FALSE))</f>
        <v>0</v>
      </c>
      <c r="V39" s="64"/>
      <c r="W39" s="64"/>
      <c r="X39" s="64"/>
      <c r="Y39" s="64"/>
      <c r="Z39" s="64"/>
      <c r="AA39" s="64"/>
      <c r="AB39" s="64"/>
      <c r="AC39" s="64"/>
      <c r="AD39" s="130"/>
      <c r="AE39" s="130"/>
      <c r="AF39" s="130"/>
      <c r="AG39" s="130"/>
    </row>
    <row r="40" spans="1:33" s="28" customFormat="1" ht="20.25" hidden="1" customHeight="1" outlineLevel="1">
      <c r="A40" s="319"/>
      <c r="B40" s="334"/>
      <c r="C40" s="138"/>
      <c r="D40" s="36" t="s">
        <v>0</v>
      </c>
      <c r="E40" s="30" t="s">
        <v>229</v>
      </c>
      <c r="F40" s="71">
        <v>1</v>
      </c>
      <c r="G40" s="72">
        <v>2</v>
      </c>
      <c r="H40" s="73">
        <v>3</v>
      </c>
      <c r="I40" s="74">
        <v>4</v>
      </c>
      <c r="J40" s="75">
        <v>5</v>
      </c>
      <c r="K40" s="76">
        <v>6</v>
      </c>
      <c r="L40" s="77">
        <v>7</v>
      </c>
      <c r="M40" s="78">
        <v>8</v>
      </c>
      <c r="N40" s="79">
        <v>9</v>
      </c>
      <c r="O40" s="80">
        <v>10</v>
      </c>
      <c r="P40" s="32" t="s">
        <v>0</v>
      </c>
      <c r="Q40" s="139"/>
      <c r="R40" s="334"/>
      <c r="S40" s="133">
        <f>VLOOKUP($E40,R.VL_DEQResourcesInvolved,2,FALSE)</f>
        <v>0</v>
      </c>
      <c r="T40" s="121">
        <f>VLOOKUP($E40,R.VL_DEQResourcesInvolved,3,FALSE)</f>
        <v>0</v>
      </c>
      <c r="U40" s="121">
        <f>IF(S40=10,T40,VLOOKUP($E40,R.VL_DEQResourcesInvolved,4,FALSE))</f>
        <v>0</v>
      </c>
      <c r="V40" s="64"/>
      <c r="W40" s="64"/>
      <c r="X40" s="64"/>
      <c r="Y40" s="64"/>
      <c r="Z40" s="64"/>
      <c r="AA40" s="64"/>
      <c r="AB40" s="64"/>
      <c r="AC40" s="64"/>
      <c r="AD40" s="130"/>
      <c r="AE40" s="130"/>
      <c r="AF40" s="130"/>
      <c r="AG40" s="130"/>
    </row>
    <row r="41" spans="1:33" s="28" customFormat="1" ht="20.25" hidden="1" customHeight="1" outlineLevel="1">
      <c r="A41" s="319"/>
      <c r="B41" s="334"/>
      <c r="C41" s="138"/>
      <c r="D41" s="36" t="s">
        <v>0</v>
      </c>
      <c r="E41" s="30" t="s">
        <v>229</v>
      </c>
      <c r="F41" s="71">
        <v>1</v>
      </c>
      <c r="G41" s="72">
        <v>2</v>
      </c>
      <c r="H41" s="73">
        <v>3</v>
      </c>
      <c r="I41" s="74">
        <v>4</v>
      </c>
      <c r="J41" s="75">
        <v>5</v>
      </c>
      <c r="K41" s="76">
        <v>6</v>
      </c>
      <c r="L41" s="77">
        <v>7</v>
      </c>
      <c r="M41" s="78">
        <v>8</v>
      </c>
      <c r="N41" s="79">
        <v>9</v>
      </c>
      <c r="O41" s="80">
        <v>10</v>
      </c>
      <c r="P41" s="32" t="s">
        <v>0</v>
      </c>
      <c r="Q41" s="139"/>
      <c r="R41" s="334"/>
      <c r="S41" s="133">
        <f>VLOOKUP($E41,R.VL_DEQResourcesInvolved,2,FALSE)</f>
        <v>0</v>
      </c>
      <c r="T41" s="121">
        <f>VLOOKUP($E41,R.VL_DEQResourcesInvolved,3,FALSE)</f>
        <v>0</v>
      </c>
      <c r="U41" s="121">
        <f>IF(S41=10,T41,VLOOKUP($E41,R.VL_DEQResourcesInvolved,4,FALSE))</f>
        <v>0</v>
      </c>
      <c r="V41" s="64"/>
      <c r="W41" s="64"/>
      <c r="X41" s="64"/>
      <c r="Y41" s="64"/>
      <c r="Z41" s="64"/>
      <c r="AA41" s="64"/>
      <c r="AB41" s="64"/>
      <c r="AC41" s="64"/>
      <c r="AD41" s="130"/>
      <c r="AE41" s="130"/>
      <c r="AF41" s="130"/>
      <c r="AG41" s="130"/>
    </row>
    <row r="42" spans="1:33" s="28" customFormat="1" ht="14.25" customHeight="1" collapsed="1">
      <c r="A42" s="319"/>
      <c r="B42" s="334"/>
      <c r="C42" s="376"/>
      <c r="D42" s="481"/>
      <c r="E42" s="739"/>
      <c r="F42" s="739"/>
      <c r="G42" s="739"/>
      <c r="H42" s="739"/>
      <c r="I42" s="739"/>
      <c r="J42" s="739"/>
      <c r="K42" s="739"/>
      <c r="L42" s="739"/>
      <c r="M42" s="739"/>
      <c r="N42" s="739"/>
      <c r="O42" s="739"/>
      <c r="P42" s="739"/>
      <c r="Q42" s="379"/>
      <c r="R42" s="334"/>
      <c r="S42" s="499"/>
      <c r="T42" s="131"/>
      <c r="U42" s="131"/>
      <c r="V42" s="64"/>
      <c r="W42" s="64"/>
      <c r="X42" s="64"/>
      <c r="Y42" s="64"/>
      <c r="Z42" s="64"/>
      <c r="AA42" s="64"/>
      <c r="AB42" s="64"/>
      <c r="AC42" s="64"/>
      <c r="AD42" s="130"/>
      <c r="AE42" s="130"/>
      <c r="AF42" s="130"/>
      <c r="AG42" s="130"/>
    </row>
    <row r="43" spans="1:33" s="33" customFormat="1" ht="30" customHeight="1">
      <c r="A43" s="350" t="s">
        <v>107</v>
      </c>
      <c r="B43" s="334"/>
      <c r="C43" s="483" t="s">
        <v>0</v>
      </c>
      <c r="D43" s="381" t="s">
        <v>140</v>
      </c>
      <c r="E43" s="382"/>
      <c r="F43" s="382"/>
      <c r="G43" s="382"/>
      <c r="H43" s="382"/>
      <c r="I43" s="382"/>
      <c r="J43" s="382"/>
      <c r="K43" s="382"/>
      <c r="L43" s="382"/>
      <c r="M43" s="382"/>
      <c r="N43" s="382"/>
      <c r="O43" s="382"/>
      <c r="P43" s="382"/>
      <c r="Q43" s="384"/>
      <c r="R43" s="334"/>
      <c r="S43" s="499"/>
      <c r="T43" s="131" t="s">
        <v>0</v>
      </c>
      <c r="U43" s="131"/>
      <c r="V43" s="129"/>
      <c r="W43" s="129"/>
      <c r="X43" s="129"/>
      <c r="Y43" s="129"/>
      <c r="Z43" s="129"/>
      <c r="AA43" s="129"/>
      <c r="AB43" s="129"/>
      <c r="AC43" s="129"/>
      <c r="AD43" s="127"/>
      <c r="AE43" s="127"/>
      <c r="AF43" s="127"/>
      <c r="AG43" s="127"/>
    </row>
    <row r="44" spans="1:33" s="33" customFormat="1" ht="14.25" customHeight="1">
      <c r="A44" s="319"/>
      <c r="B44" s="334"/>
      <c r="C44" s="232"/>
      <c r="D44" s="443" t="s">
        <v>53</v>
      </c>
      <c r="E44" s="94"/>
      <c r="F44" s="94"/>
      <c r="G44" s="94"/>
      <c r="H44" s="94"/>
      <c r="I44" s="94"/>
      <c r="J44" s="94"/>
      <c r="K44" s="94"/>
      <c r="L44" s="94"/>
      <c r="M44" s="94"/>
      <c r="N44" s="94"/>
      <c r="O44" s="94"/>
      <c r="P44" s="94"/>
      <c r="Q44" s="137"/>
      <c r="R44" s="334"/>
      <c r="S44" s="499"/>
      <c r="T44" s="229"/>
      <c r="U44" s="229"/>
      <c r="V44" s="230"/>
      <c r="W44" s="230"/>
      <c r="X44" s="230"/>
      <c r="Y44" s="230"/>
      <c r="Z44" s="230"/>
      <c r="AA44" s="230"/>
      <c r="AB44" s="230"/>
      <c r="AC44" s="230"/>
      <c r="AD44" s="127"/>
      <c r="AE44" s="127"/>
      <c r="AF44" s="127"/>
      <c r="AG44" s="127"/>
    </row>
    <row r="45" spans="1:33" s="28" customFormat="1" ht="20.25" customHeight="1">
      <c r="A45" s="319"/>
      <c r="B45" s="334"/>
      <c r="C45" s="138"/>
      <c r="D45" s="719"/>
      <c r="E45" s="720"/>
      <c r="F45" s="720"/>
      <c r="G45" s="720"/>
      <c r="H45" s="720"/>
      <c r="I45" s="720"/>
      <c r="J45" s="720"/>
      <c r="K45" s="720"/>
      <c r="L45" s="720"/>
      <c r="M45" s="720"/>
      <c r="N45" s="720"/>
      <c r="O45" s="720"/>
      <c r="P45" s="721"/>
      <c r="Q45" s="139"/>
      <c r="R45" s="334"/>
      <c r="S45" s="499"/>
      <c r="T45" s="131"/>
      <c r="U45" s="131"/>
      <c r="V45" s="64"/>
      <c r="W45" s="64"/>
      <c r="X45" s="64"/>
      <c r="Y45" s="64"/>
      <c r="Z45" s="64"/>
      <c r="AA45" s="64"/>
      <c r="AB45" s="64"/>
      <c r="AC45" s="64"/>
      <c r="AD45" s="130"/>
      <c r="AE45" s="130"/>
      <c r="AF45" s="130"/>
      <c r="AG45" s="130"/>
    </row>
    <row r="46" spans="1:33" s="33" customFormat="1" ht="14.25" customHeight="1">
      <c r="A46" s="319"/>
      <c r="B46" s="334"/>
      <c r="C46" s="233"/>
      <c r="D46" s="497" t="s">
        <v>60</v>
      </c>
      <c r="E46" s="393" t="s">
        <v>18</v>
      </c>
      <c r="F46" s="733" t="s">
        <v>19</v>
      </c>
      <c r="G46" s="733"/>
      <c r="H46" s="733"/>
      <c r="I46" s="733"/>
      <c r="J46" s="733"/>
      <c r="K46" s="733"/>
      <c r="L46" s="733"/>
      <c r="M46" s="733"/>
      <c r="N46" s="733"/>
      <c r="O46" s="733"/>
      <c r="P46" s="393" t="s">
        <v>20</v>
      </c>
      <c r="Q46" s="137"/>
      <c r="R46" s="334"/>
      <c r="S46" s="499"/>
      <c r="T46" s="229"/>
      <c r="U46" s="229"/>
      <c r="V46" s="230"/>
      <c r="W46" s="230"/>
      <c r="X46" s="230"/>
      <c r="Y46" s="230"/>
      <c r="Z46" s="230"/>
      <c r="AA46" s="230"/>
      <c r="AB46" s="230"/>
      <c r="AC46" s="230"/>
      <c r="AD46" s="127"/>
      <c r="AE46" s="127"/>
      <c r="AF46" s="127"/>
      <c r="AG46" s="127"/>
    </row>
    <row r="47" spans="1:33" s="28" customFormat="1" ht="20.25" customHeight="1">
      <c r="A47" s="319"/>
      <c r="B47" s="334"/>
      <c r="C47" s="138"/>
      <c r="D47" s="36" t="s">
        <v>0</v>
      </c>
      <c r="E47" s="30" t="s">
        <v>229</v>
      </c>
      <c r="F47" s="71">
        <v>1</v>
      </c>
      <c r="G47" s="72">
        <v>2</v>
      </c>
      <c r="H47" s="73">
        <v>3</v>
      </c>
      <c r="I47" s="74">
        <v>4</v>
      </c>
      <c r="J47" s="75">
        <v>5</v>
      </c>
      <c r="K47" s="76">
        <v>6</v>
      </c>
      <c r="L47" s="77">
        <v>7</v>
      </c>
      <c r="M47" s="78">
        <v>8</v>
      </c>
      <c r="N47" s="79">
        <v>9</v>
      </c>
      <c r="O47" s="80">
        <v>10</v>
      </c>
      <c r="P47" s="32" t="s">
        <v>0</v>
      </c>
      <c r="Q47" s="139"/>
      <c r="R47" s="334"/>
      <c r="S47" s="133">
        <f>VLOOKUP($E47,R.VL_DEQResourcesInvolved,2,FALSE)</f>
        <v>0</v>
      </c>
      <c r="T47" s="121">
        <f>VLOOKUP($E47,R.VL_DEQResourcesInvolved,3,FALSE)</f>
        <v>0</v>
      </c>
      <c r="U47" s="121">
        <f>IF(S47=10,T47,VLOOKUP($E47,R.VL_DEQResourcesInvolved,4,FALSE))</f>
        <v>0</v>
      </c>
      <c r="V47" s="575" t="s">
        <v>554</v>
      </c>
      <c r="W47" s="64"/>
      <c r="X47" s="64"/>
      <c r="Y47" s="64"/>
      <c r="Z47" s="64"/>
      <c r="AA47" s="64"/>
      <c r="AB47" s="64"/>
      <c r="AC47" s="64"/>
      <c r="AD47" s="130"/>
      <c r="AE47" s="130"/>
      <c r="AF47" s="130"/>
      <c r="AG47" s="130"/>
    </row>
    <row r="48" spans="1:33" s="28" customFormat="1" ht="20.25" hidden="1" customHeight="1" outlineLevel="1">
      <c r="A48" s="319"/>
      <c r="B48" s="334"/>
      <c r="C48" s="138"/>
      <c r="D48" s="36" t="s">
        <v>0</v>
      </c>
      <c r="E48" s="30" t="s">
        <v>229</v>
      </c>
      <c r="F48" s="71">
        <v>1</v>
      </c>
      <c r="G48" s="72">
        <v>2</v>
      </c>
      <c r="H48" s="73">
        <v>3</v>
      </c>
      <c r="I48" s="74">
        <v>4</v>
      </c>
      <c r="J48" s="75">
        <v>5</v>
      </c>
      <c r="K48" s="76">
        <v>6</v>
      </c>
      <c r="L48" s="77">
        <v>7</v>
      </c>
      <c r="M48" s="78">
        <v>8</v>
      </c>
      <c r="N48" s="79">
        <v>9</v>
      </c>
      <c r="O48" s="80">
        <v>10</v>
      </c>
      <c r="P48" s="32" t="s">
        <v>0</v>
      </c>
      <c r="Q48" s="139"/>
      <c r="R48" s="334"/>
      <c r="S48" s="133">
        <f>VLOOKUP($E48,R.VL_DEQResourcesInvolved,2,FALSE)</f>
        <v>0</v>
      </c>
      <c r="T48" s="121">
        <f>VLOOKUP($E48,R.VL_DEQResourcesInvolved,3,FALSE)</f>
        <v>0</v>
      </c>
      <c r="U48" s="121">
        <f>IF(S48=10,T48,VLOOKUP($E48,R.VL_DEQResourcesInvolved,4,FALSE))</f>
        <v>0</v>
      </c>
      <c r="V48" s="64"/>
      <c r="W48" s="64"/>
      <c r="X48" s="64"/>
      <c r="Y48" s="64"/>
      <c r="Z48" s="64"/>
      <c r="AA48" s="64"/>
      <c r="AB48" s="64"/>
      <c r="AC48" s="64"/>
      <c r="AD48" s="130"/>
      <c r="AE48" s="130"/>
      <c r="AF48" s="130"/>
      <c r="AG48" s="130"/>
    </row>
    <row r="49" spans="1:33" s="28" customFormat="1" ht="20.25" hidden="1" customHeight="1" outlineLevel="1">
      <c r="A49" s="319"/>
      <c r="B49" s="334"/>
      <c r="C49" s="138"/>
      <c r="D49" s="36" t="s">
        <v>0</v>
      </c>
      <c r="E49" s="30" t="s">
        <v>229</v>
      </c>
      <c r="F49" s="71">
        <v>1</v>
      </c>
      <c r="G49" s="72">
        <v>2</v>
      </c>
      <c r="H49" s="73">
        <v>3</v>
      </c>
      <c r="I49" s="74">
        <v>4</v>
      </c>
      <c r="J49" s="75">
        <v>5</v>
      </c>
      <c r="K49" s="76">
        <v>6</v>
      </c>
      <c r="L49" s="77">
        <v>7</v>
      </c>
      <c r="M49" s="78">
        <v>8</v>
      </c>
      <c r="N49" s="79">
        <v>9</v>
      </c>
      <c r="O49" s="80">
        <v>10</v>
      </c>
      <c r="P49" s="32" t="s">
        <v>0</v>
      </c>
      <c r="Q49" s="139"/>
      <c r="R49" s="334"/>
      <c r="S49" s="133">
        <f>VLOOKUP($E49,R.VL_DEQResourcesInvolved,2,FALSE)</f>
        <v>0</v>
      </c>
      <c r="T49" s="121">
        <f>VLOOKUP($E49,R.VL_DEQResourcesInvolved,3,FALSE)</f>
        <v>0</v>
      </c>
      <c r="U49" s="121">
        <f>IF(S49=10,T49,VLOOKUP($E49,R.VL_DEQResourcesInvolved,4,FALSE))</f>
        <v>0</v>
      </c>
      <c r="V49" s="64"/>
      <c r="W49" s="64"/>
      <c r="X49" s="64"/>
      <c r="Y49" s="64"/>
      <c r="Z49" s="64"/>
      <c r="AA49" s="64"/>
      <c r="AB49" s="64"/>
      <c r="AC49" s="64"/>
      <c r="AD49" s="130"/>
      <c r="AE49" s="130"/>
      <c r="AF49" s="130"/>
      <c r="AG49" s="130"/>
    </row>
    <row r="50" spans="1:33" s="28" customFormat="1" ht="20.25" hidden="1" customHeight="1" outlineLevel="1">
      <c r="A50" s="319"/>
      <c r="B50" s="334"/>
      <c r="C50" s="138"/>
      <c r="D50" s="36" t="s">
        <v>0</v>
      </c>
      <c r="E50" s="30" t="s">
        <v>229</v>
      </c>
      <c r="F50" s="71">
        <v>1</v>
      </c>
      <c r="G50" s="72">
        <v>2</v>
      </c>
      <c r="H50" s="73">
        <v>3</v>
      </c>
      <c r="I50" s="74">
        <v>4</v>
      </c>
      <c r="J50" s="75">
        <v>5</v>
      </c>
      <c r="K50" s="76">
        <v>6</v>
      </c>
      <c r="L50" s="77">
        <v>7</v>
      </c>
      <c r="M50" s="78">
        <v>8</v>
      </c>
      <c r="N50" s="79">
        <v>9</v>
      </c>
      <c r="O50" s="80">
        <v>10</v>
      </c>
      <c r="P50" s="32" t="s">
        <v>0</v>
      </c>
      <c r="Q50" s="139"/>
      <c r="R50" s="334"/>
      <c r="S50" s="133">
        <f>VLOOKUP($E50,R.VL_DEQResourcesInvolved,2,FALSE)</f>
        <v>0</v>
      </c>
      <c r="T50" s="121">
        <f>VLOOKUP($E50,R.VL_DEQResourcesInvolved,3,FALSE)</f>
        <v>0</v>
      </c>
      <c r="U50" s="121">
        <f>IF(S50=10,T50,VLOOKUP($E50,R.VL_DEQResourcesInvolved,4,FALSE))</f>
        <v>0</v>
      </c>
      <c r="V50" s="64"/>
      <c r="W50" s="64"/>
      <c r="X50" s="64"/>
      <c r="Y50" s="64"/>
      <c r="Z50" s="64"/>
      <c r="AA50" s="64"/>
      <c r="AB50" s="64"/>
      <c r="AC50" s="64"/>
      <c r="AD50" s="130"/>
      <c r="AE50" s="130"/>
      <c r="AF50" s="130"/>
      <c r="AG50" s="130"/>
    </row>
    <row r="51" spans="1:33" s="28" customFormat="1" ht="14.25" customHeight="1" collapsed="1">
      <c r="A51" s="319"/>
      <c r="B51" s="334"/>
      <c r="C51" s="245"/>
      <c r="D51" s="442" t="s">
        <v>52</v>
      </c>
      <c r="E51" s="31"/>
      <c r="F51" s="31"/>
      <c r="G51" s="31"/>
      <c r="H51" s="31"/>
      <c r="I51" s="31"/>
      <c r="J51" s="31"/>
      <c r="K51" s="31"/>
      <c r="L51" s="31"/>
      <c r="M51" s="31"/>
      <c r="N51" s="31"/>
      <c r="O51" s="31"/>
      <c r="P51" s="31"/>
      <c r="Q51" s="143"/>
      <c r="R51" s="334"/>
      <c r="S51" s="499"/>
      <c r="T51" s="131"/>
      <c r="U51" s="131"/>
      <c r="V51" s="64"/>
      <c r="W51" s="64"/>
      <c r="X51" s="64"/>
      <c r="Y51" s="64"/>
      <c r="Z51" s="64"/>
      <c r="AA51" s="64"/>
      <c r="AB51" s="64"/>
      <c r="AC51" s="64"/>
      <c r="AD51" s="130"/>
      <c r="AE51" s="130"/>
      <c r="AF51" s="130"/>
      <c r="AG51" s="130"/>
    </row>
    <row r="52" spans="1:33" s="28" customFormat="1" ht="20.25" customHeight="1">
      <c r="A52" s="319"/>
      <c r="B52" s="334"/>
      <c r="C52" s="138"/>
      <c r="D52" s="734"/>
      <c r="E52" s="735"/>
      <c r="F52" s="735"/>
      <c r="G52" s="735"/>
      <c r="H52" s="735"/>
      <c r="I52" s="735"/>
      <c r="J52" s="735"/>
      <c r="K52" s="735"/>
      <c r="L52" s="735"/>
      <c r="M52" s="735"/>
      <c r="N52" s="735"/>
      <c r="O52" s="735"/>
      <c r="P52" s="736"/>
      <c r="Q52" s="139"/>
      <c r="R52" s="334"/>
      <c r="S52" s="499"/>
      <c r="T52" s="131"/>
      <c r="U52" s="131"/>
      <c r="V52" s="64"/>
      <c r="W52" s="64"/>
      <c r="X52" s="64"/>
      <c r="Y52" s="64"/>
      <c r="Z52" s="64"/>
      <c r="AA52" s="64"/>
      <c r="AB52" s="64"/>
      <c r="AC52" s="64"/>
      <c r="AD52" s="130"/>
      <c r="AE52" s="130"/>
      <c r="AF52" s="130"/>
      <c r="AG52" s="130"/>
    </row>
    <row r="53" spans="1:33" s="33" customFormat="1" ht="14.25" customHeight="1">
      <c r="A53" s="319"/>
      <c r="B53" s="334"/>
      <c r="C53" s="232"/>
      <c r="D53" s="442" t="s">
        <v>60</v>
      </c>
      <c r="E53" s="292" t="s">
        <v>18</v>
      </c>
      <c r="F53" s="292" t="s">
        <v>19</v>
      </c>
      <c r="G53" s="292"/>
      <c r="H53" s="292"/>
      <c r="I53" s="292"/>
      <c r="J53" s="292"/>
      <c r="K53" s="292"/>
      <c r="L53" s="292"/>
      <c r="M53" s="292"/>
      <c r="N53" s="292"/>
      <c r="O53" s="292"/>
      <c r="P53" s="292" t="s">
        <v>20</v>
      </c>
      <c r="Q53" s="137"/>
      <c r="R53" s="334"/>
      <c r="S53" s="499"/>
      <c r="T53" s="131"/>
      <c r="U53" s="131"/>
      <c r="V53" s="129"/>
      <c r="W53" s="129"/>
      <c r="X53" s="129"/>
      <c r="Y53" s="129"/>
      <c r="Z53" s="129"/>
      <c r="AA53" s="129"/>
      <c r="AB53" s="129"/>
      <c r="AC53" s="129"/>
      <c r="AD53" s="127"/>
      <c r="AE53" s="127"/>
      <c r="AF53" s="127"/>
      <c r="AG53" s="127"/>
    </row>
    <row r="54" spans="1:33" s="28" customFormat="1" ht="20.25" customHeight="1">
      <c r="A54" s="319"/>
      <c r="B54" s="334"/>
      <c r="C54" s="138"/>
      <c r="D54" s="36" t="s">
        <v>0</v>
      </c>
      <c r="E54" s="30" t="s">
        <v>229</v>
      </c>
      <c r="F54" s="71">
        <v>1</v>
      </c>
      <c r="G54" s="72">
        <v>2</v>
      </c>
      <c r="H54" s="73">
        <v>3</v>
      </c>
      <c r="I54" s="74">
        <v>4</v>
      </c>
      <c r="J54" s="75">
        <v>5</v>
      </c>
      <c r="K54" s="76">
        <v>6</v>
      </c>
      <c r="L54" s="77">
        <v>7</v>
      </c>
      <c r="M54" s="78">
        <v>8</v>
      </c>
      <c r="N54" s="79">
        <v>9</v>
      </c>
      <c r="O54" s="80">
        <v>10</v>
      </c>
      <c r="P54" s="32" t="s">
        <v>0</v>
      </c>
      <c r="Q54" s="139"/>
      <c r="R54" s="334"/>
      <c r="S54" s="133">
        <f>VLOOKUP($E54,R.VL_DEQResourcesInvolved,2,FALSE)</f>
        <v>0</v>
      </c>
      <c r="T54" s="121">
        <f>VLOOKUP($E54,R.VL_DEQResourcesInvolved,3,FALSE)</f>
        <v>0</v>
      </c>
      <c r="U54" s="121">
        <f>IF(S54=10,T54,VLOOKUP($E54,R.VL_DEQResourcesInvolved,4,FALSE))</f>
        <v>0</v>
      </c>
      <c r="V54" s="575" t="s">
        <v>554</v>
      </c>
      <c r="W54" s="64"/>
      <c r="X54" s="64"/>
      <c r="Y54" s="64"/>
      <c r="Z54" s="64"/>
      <c r="AA54" s="64"/>
      <c r="AB54" s="64"/>
      <c r="AC54" s="64"/>
      <c r="AD54" s="130"/>
      <c r="AE54" s="130"/>
      <c r="AF54" s="130"/>
      <c r="AG54" s="130"/>
    </row>
    <row r="55" spans="1:33" s="28" customFormat="1" ht="20.25" hidden="1" customHeight="1" outlineLevel="1">
      <c r="A55" s="319"/>
      <c r="B55" s="334"/>
      <c r="C55" s="138"/>
      <c r="D55" s="36" t="s">
        <v>0</v>
      </c>
      <c r="E55" s="30" t="s">
        <v>229</v>
      </c>
      <c r="F55" s="71">
        <v>1</v>
      </c>
      <c r="G55" s="72">
        <v>2</v>
      </c>
      <c r="H55" s="73">
        <v>3</v>
      </c>
      <c r="I55" s="74">
        <v>4</v>
      </c>
      <c r="J55" s="75">
        <v>5</v>
      </c>
      <c r="K55" s="76">
        <v>6</v>
      </c>
      <c r="L55" s="77">
        <v>7</v>
      </c>
      <c r="M55" s="78">
        <v>8</v>
      </c>
      <c r="N55" s="79">
        <v>9</v>
      </c>
      <c r="O55" s="80">
        <v>10</v>
      </c>
      <c r="P55" s="32" t="s">
        <v>0</v>
      </c>
      <c r="Q55" s="139"/>
      <c r="R55" s="334"/>
      <c r="S55" s="133">
        <f>VLOOKUP($E55,R.VL_DEQResourcesInvolved,2,FALSE)</f>
        <v>0</v>
      </c>
      <c r="T55" s="121">
        <f>VLOOKUP($E55,R.VL_DEQResourcesInvolved,3,FALSE)</f>
        <v>0</v>
      </c>
      <c r="U55" s="121">
        <f>IF(S55=10,T55,VLOOKUP($E55,R.VL_DEQResourcesInvolved,4,FALSE))</f>
        <v>0</v>
      </c>
      <c r="V55" s="64"/>
      <c r="W55" s="64"/>
      <c r="X55" s="64"/>
      <c r="Y55" s="64"/>
      <c r="Z55" s="64"/>
      <c r="AA55" s="64"/>
      <c r="AB55" s="64"/>
      <c r="AC55" s="64"/>
      <c r="AD55" s="130"/>
      <c r="AE55" s="130"/>
      <c r="AF55" s="130"/>
      <c r="AG55" s="130"/>
    </row>
    <row r="56" spans="1:33" s="28" customFormat="1" ht="20.25" hidden="1" customHeight="1" outlineLevel="1">
      <c r="A56" s="319"/>
      <c r="B56" s="334"/>
      <c r="C56" s="138"/>
      <c r="D56" s="36"/>
      <c r="E56" s="30" t="s">
        <v>229</v>
      </c>
      <c r="F56" s="71">
        <v>1</v>
      </c>
      <c r="G56" s="72">
        <v>2</v>
      </c>
      <c r="H56" s="73">
        <v>3</v>
      </c>
      <c r="I56" s="74">
        <v>4</v>
      </c>
      <c r="J56" s="75">
        <v>5</v>
      </c>
      <c r="K56" s="76">
        <v>6</v>
      </c>
      <c r="L56" s="77">
        <v>7</v>
      </c>
      <c r="M56" s="78">
        <v>8</v>
      </c>
      <c r="N56" s="79">
        <v>9</v>
      </c>
      <c r="O56" s="80">
        <v>10</v>
      </c>
      <c r="P56" s="32"/>
      <c r="Q56" s="139"/>
      <c r="R56" s="334"/>
      <c r="S56" s="133">
        <f>VLOOKUP($E56,R.VL_DEQResourcesInvolved,2,FALSE)</f>
        <v>0</v>
      </c>
      <c r="T56" s="121">
        <f>VLOOKUP($E56,R.VL_DEQResourcesInvolved,3,FALSE)</f>
        <v>0</v>
      </c>
      <c r="U56" s="121">
        <f>IF(S56=10,T56,VLOOKUP($E56,R.VL_DEQResourcesInvolved,4,FALSE))</f>
        <v>0</v>
      </c>
      <c r="V56" s="64"/>
      <c r="W56" s="64"/>
      <c r="X56" s="64"/>
      <c r="Y56" s="64"/>
      <c r="Z56" s="64"/>
      <c r="AA56" s="64"/>
      <c r="AB56" s="64"/>
      <c r="AC56" s="64"/>
      <c r="AD56" s="130"/>
      <c r="AE56" s="130"/>
      <c r="AF56" s="130"/>
      <c r="AG56" s="130"/>
    </row>
    <row r="57" spans="1:33" s="28" customFormat="1" ht="20.25" hidden="1" customHeight="1" outlineLevel="1">
      <c r="A57" s="319"/>
      <c r="B57" s="334"/>
      <c r="C57" s="138"/>
      <c r="D57" s="36" t="s">
        <v>0</v>
      </c>
      <c r="E57" s="30" t="s">
        <v>229</v>
      </c>
      <c r="F57" s="71">
        <v>1</v>
      </c>
      <c r="G57" s="72">
        <v>2</v>
      </c>
      <c r="H57" s="73">
        <v>3</v>
      </c>
      <c r="I57" s="74">
        <v>4</v>
      </c>
      <c r="J57" s="75">
        <v>5</v>
      </c>
      <c r="K57" s="76">
        <v>6</v>
      </c>
      <c r="L57" s="77">
        <v>7</v>
      </c>
      <c r="M57" s="78">
        <v>8</v>
      </c>
      <c r="N57" s="79">
        <v>9</v>
      </c>
      <c r="O57" s="80">
        <v>10</v>
      </c>
      <c r="P57" s="32" t="s">
        <v>0</v>
      </c>
      <c r="Q57" s="139"/>
      <c r="R57" s="334"/>
      <c r="S57" s="133">
        <f>VLOOKUP($E57,R.VL_DEQResourcesInvolved,2,FALSE)</f>
        <v>0</v>
      </c>
      <c r="T57" s="121">
        <f>VLOOKUP($E57,R.VL_DEQResourcesInvolved,3,FALSE)</f>
        <v>0</v>
      </c>
      <c r="U57" s="121">
        <f>IF(S57=10,T57,VLOOKUP($E57,R.VL_DEQResourcesInvolved,4,FALSE))</f>
        <v>0</v>
      </c>
      <c r="V57" s="64"/>
      <c r="W57" s="64"/>
      <c r="X57" s="64"/>
      <c r="Y57" s="64"/>
      <c r="Z57" s="64"/>
      <c r="AA57" s="64"/>
      <c r="AB57" s="64"/>
      <c r="AC57" s="64"/>
      <c r="AD57" s="130"/>
      <c r="AE57" s="130"/>
      <c r="AF57" s="130"/>
      <c r="AG57" s="130"/>
    </row>
    <row r="58" spans="1:33" s="28" customFormat="1" ht="14.25" customHeight="1" collapsed="1">
      <c r="A58" s="319"/>
      <c r="B58" s="334"/>
      <c r="C58" s="376"/>
      <c r="D58" s="481"/>
      <c r="E58" s="739"/>
      <c r="F58" s="739"/>
      <c r="G58" s="739"/>
      <c r="H58" s="739"/>
      <c r="I58" s="739"/>
      <c r="J58" s="739"/>
      <c r="K58" s="739"/>
      <c r="L58" s="739"/>
      <c r="M58" s="739"/>
      <c r="N58" s="739"/>
      <c r="O58" s="739"/>
      <c r="P58" s="739"/>
      <c r="Q58" s="379"/>
      <c r="R58" s="334"/>
      <c r="S58" s="499"/>
      <c r="T58" s="131"/>
      <c r="U58" s="131"/>
      <c r="V58" s="64"/>
      <c r="W58" s="64"/>
      <c r="X58" s="64"/>
      <c r="Y58" s="64"/>
      <c r="Z58" s="64"/>
      <c r="AA58" s="64"/>
      <c r="AB58" s="64"/>
      <c r="AC58" s="64"/>
      <c r="AD58" s="130"/>
      <c r="AE58" s="130"/>
      <c r="AF58" s="130"/>
      <c r="AG58" s="130"/>
    </row>
    <row r="59" spans="1:33" s="33" customFormat="1" ht="30" customHeight="1">
      <c r="A59" s="350" t="s">
        <v>107</v>
      </c>
      <c r="B59" s="334"/>
      <c r="C59" s="136"/>
      <c r="D59" s="304" t="s">
        <v>139</v>
      </c>
      <c r="E59" s="302"/>
      <c r="F59" s="94"/>
      <c r="G59" s="94"/>
      <c r="H59" s="94"/>
      <c r="I59" s="94"/>
      <c r="J59" s="94"/>
      <c r="K59" s="94"/>
      <c r="L59" s="94"/>
      <c r="M59" s="94"/>
      <c r="N59" s="94"/>
      <c r="O59" s="94"/>
      <c r="P59" s="94"/>
      <c r="Q59" s="137"/>
      <c r="R59" s="334"/>
      <c r="S59" s="499"/>
      <c r="T59" s="131"/>
      <c r="U59" s="131"/>
      <c r="V59" s="129"/>
      <c r="W59" s="129"/>
      <c r="X59" s="129"/>
      <c r="Y59" s="129"/>
      <c r="Z59" s="129"/>
      <c r="AA59" s="129"/>
      <c r="AB59" s="129"/>
      <c r="AC59" s="129"/>
      <c r="AD59" s="127"/>
      <c r="AE59" s="127"/>
      <c r="AF59" s="127"/>
      <c r="AG59" s="127"/>
    </row>
    <row r="60" spans="1:33" s="33" customFormat="1" ht="14.25" customHeight="1">
      <c r="A60" s="319"/>
      <c r="B60" s="334"/>
      <c r="C60" s="136"/>
      <c r="D60" s="443" t="s">
        <v>53</v>
      </c>
      <c r="E60" s="94"/>
      <c r="F60" s="94"/>
      <c r="G60" s="94"/>
      <c r="H60" s="94"/>
      <c r="I60" s="94"/>
      <c r="J60" s="94"/>
      <c r="K60" s="94"/>
      <c r="L60" s="94"/>
      <c r="M60" s="94"/>
      <c r="N60" s="94"/>
      <c r="O60" s="94"/>
      <c r="P60" s="94"/>
      <c r="Q60" s="137"/>
      <c r="R60" s="334"/>
      <c r="S60" s="499"/>
      <c r="T60" s="131"/>
      <c r="U60" s="131"/>
      <c r="V60" s="129"/>
      <c r="W60" s="129"/>
      <c r="X60" s="129"/>
      <c r="Y60" s="129"/>
      <c r="Z60" s="129"/>
      <c r="AA60" s="129"/>
      <c r="AB60" s="129"/>
      <c r="AC60" s="129"/>
      <c r="AD60" s="127"/>
      <c r="AE60" s="127"/>
      <c r="AF60" s="127"/>
      <c r="AG60" s="127"/>
    </row>
    <row r="61" spans="1:33" s="28" customFormat="1" ht="20.25" customHeight="1">
      <c r="A61" s="319"/>
      <c r="B61" s="334"/>
      <c r="C61" s="138"/>
      <c r="D61" s="719"/>
      <c r="E61" s="720"/>
      <c r="F61" s="720"/>
      <c r="G61" s="720"/>
      <c r="H61" s="720"/>
      <c r="I61" s="720"/>
      <c r="J61" s="720"/>
      <c r="K61" s="720"/>
      <c r="L61" s="720"/>
      <c r="M61" s="720"/>
      <c r="N61" s="720"/>
      <c r="O61" s="720"/>
      <c r="P61" s="721"/>
      <c r="Q61" s="139"/>
      <c r="R61" s="334"/>
      <c r="S61" s="499"/>
      <c r="T61" s="131"/>
      <c r="U61" s="131"/>
      <c r="V61" s="64"/>
      <c r="W61" s="64"/>
      <c r="X61" s="64"/>
      <c r="Y61" s="64"/>
      <c r="Z61" s="64"/>
      <c r="AA61" s="64"/>
      <c r="AB61" s="64"/>
      <c r="AC61" s="64"/>
      <c r="AD61" s="130"/>
      <c r="AE61" s="130"/>
      <c r="AF61" s="130"/>
      <c r="AG61" s="130"/>
    </row>
    <row r="62" spans="1:33" s="33" customFormat="1" ht="14.25" customHeight="1">
      <c r="A62" s="319"/>
      <c r="B62" s="334"/>
      <c r="C62" s="136"/>
      <c r="D62" s="442" t="s">
        <v>60</v>
      </c>
      <c r="E62" s="105" t="s">
        <v>18</v>
      </c>
      <c r="F62" s="749" t="s">
        <v>19</v>
      </c>
      <c r="G62" s="749"/>
      <c r="H62" s="749"/>
      <c r="I62" s="749"/>
      <c r="J62" s="749"/>
      <c r="K62" s="749"/>
      <c r="L62" s="749"/>
      <c r="M62" s="749"/>
      <c r="N62" s="749"/>
      <c r="O62" s="749"/>
      <c r="P62" s="105" t="s">
        <v>20</v>
      </c>
      <c r="Q62" s="137"/>
      <c r="R62" s="334"/>
      <c r="S62" s="499"/>
      <c r="T62" s="131"/>
      <c r="U62" s="131"/>
      <c r="V62" s="129"/>
      <c r="W62" s="129"/>
      <c r="X62" s="129"/>
      <c r="Y62" s="129"/>
      <c r="Z62" s="129"/>
      <c r="AA62" s="129"/>
      <c r="AB62" s="129"/>
      <c r="AC62" s="129"/>
      <c r="AD62" s="127"/>
      <c r="AE62" s="127"/>
      <c r="AF62" s="127"/>
      <c r="AG62" s="127"/>
    </row>
    <row r="63" spans="1:33" s="28" customFormat="1" ht="20.25" customHeight="1">
      <c r="A63" s="319"/>
      <c r="B63" s="334"/>
      <c r="C63" s="138"/>
      <c r="D63" s="36"/>
      <c r="E63" s="30" t="s">
        <v>229</v>
      </c>
      <c r="F63" s="71">
        <v>1</v>
      </c>
      <c r="G63" s="72">
        <v>2</v>
      </c>
      <c r="H63" s="73">
        <v>3</v>
      </c>
      <c r="I63" s="74">
        <v>4</v>
      </c>
      <c r="J63" s="75">
        <v>5</v>
      </c>
      <c r="K63" s="76">
        <v>6</v>
      </c>
      <c r="L63" s="77">
        <v>7</v>
      </c>
      <c r="M63" s="78">
        <v>8</v>
      </c>
      <c r="N63" s="79">
        <v>9</v>
      </c>
      <c r="O63" s="80">
        <v>10</v>
      </c>
      <c r="P63" s="32" t="s">
        <v>0</v>
      </c>
      <c r="Q63" s="139"/>
      <c r="R63" s="334"/>
      <c r="S63" s="133">
        <f>VLOOKUP($E63,R.VL_DEQResourcesInvolved,2,FALSE)</f>
        <v>0</v>
      </c>
      <c r="T63" s="121">
        <f>VLOOKUP($E63,R.VL_DEQResourcesInvolved,3,FALSE)</f>
        <v>0</v>
      </c>
      <c r="U63" s="121">
        <f>IF(S63=10,T63,VLOOKUP($E63,R.VL_DEQResourcesInvolved,4,FALSE))</f>
        <v>0</v>
      </c>
      <c r="V63" s="575" t="s">
        <v>554</v>
      </c>
      <c r="W63" s="64"/>
      <c r="X63" s="64"/>
      <c r="Y63" s="64"/>
      <c r="Z63" s="64"/>
      <c r="AA63" s="64"/>
      <c r="AB63" s="64"/>
      <c r="AC63" s="64"/>
      <c r="AD63" s="130"/>
      <c r="AE63" s="130"/>
      <c r="AF63" s="130"/>
      <c r="AG63" s="130"/>
    </row>
    <row r="64" spans="1:33" s="28" customFormat="1" ht="20.25" hidden="1" customHeight="1" outlineLevel="1">
      <c r="A64" s="319"/>
      <c r="B64" s="334"/>
      <c r="C64" s="138"/>
      <c r="D64" s="36"/>
      <c r="E64" s="30" t="s">
        <v>229</v>
      </c>
      <c r="F64" s="71">
        <v>1</v>
      </c>
      <c r="G64" s="72">
        <v>2</v>
      </c>
      <c r="H64" s="73">
        <v>3</v>
      </c>
      <c r="I64" s="74">
        <v>4</v>
      </c>
      <c r="J64" s="75">
        <v>5</v>
      </c>
      <c r="K64" s="76">
        <v>6</v>
      </c>
      <c r="L64" s="77">
        <v>7</v>
      </c>
      <c r="M64" s="78">
        <v>8</v>
      </c>
      <c r="N64" s="79">
        <v>9</v>
      </c>
      <c r="O64" s="80">
        <v>10</v>
      </c>
      <c r="P64" s="32"/>
      <c r="Q64" s="139"/>
      <c r="R64" s="334"/>
      <c r="S64" s="133">
        <f>VLOOKUP($E64,R.VL_DEQResourcesInvolved,2,FALSE)</f>
        <v>0</v>
      </c>
      <c r="T64" s="121">
        <f>VLOOKUP($E64,R.VL_DEQResourcesInvolved,3,FALSE)</f>
        <v>0</v>
      </c>
      <c r="U64" s="121">
        <f>IF(S64=10,T64,VLOOKUP($E64,R.VL_DEQResourcesInvolved,4,FALSE))</f>
        <v>0</v>
      </c>
      <c r="V64" s="64"/>
      <c r="W64" s="64"/>
      <c r="X64" s="64"/>
      <c r="Y64" s="64"/>
      <c r="Z64" s="64"/>
      <c r="AA64" s="64"/>
      <c r="AB64" s="64"/>
      <c r="AC64" s="64"/>
      <c r="AD64" s="130"/>
      <c r="AE64" s="130"/>
      <c r="AF64" s="130"/>
      <c r="AG64" s="130"/>
    </row>
    <row r="65" spans="1:33" s="28" customFormat="1" ht="20.25" hidden="1" customHeight="1" outlineLevel="1">
      <c r="A65" s="319"/>
      <c r="B65" s="334"/>
      <c r="C65" s="138"/>
      <c r="D65" s="36" t="s">
        <v>0</v>
      </c>
      <c r="E65" s="30" t="s">
        <v>229</v>
      </c>
      <c r="F65" s="71">
        <v>1</v>
      </c>
      <c r="G65" s="72">
        <v>2</v>
      </c>
      <c r="H65" s="73">
        <v>3</v>
      </c>
      <c r="I65" s="74">
        <v>4</v>
      </c>
      <c r="J65" s="75">
        <v>5</v>
      </c>
      <c r="K65" s="76">
        <v>6</v>
      </c>
      <c r="L65" s="77">
        <v>7</v>
      </c>
      <c r="M65" s="78">
        <v>8</v>
      </c>
      <c r="N65" s="79">
        <v>9</v>
      </c>
      <c r="O65" s="80">
        <v>10</v>
      </c>
      <c r="P65" s="32" t="s">
        <v>0</v>
      </c>
      <c r="Q65" s="139"/>
      <c r="R65" s="334"/>
      <c r="S65" s="133">
        <f>VLOOKUP($E65,R.VL_DEQResourcesInvolved,2,FALSE)</f>
        <v>0</v>
      </c>
      <c r="T65" s="121">
        <f>VLOOKUP($E65,R.VL_DEQResourcesInvolved,3,FALSE)</f>
        <v>0</v>
      </c>
      <c r="U65" s="121">
        <f>IF(S65=10,T65,VLOOKUP($E65,R.VL_DEQResourcesInvolved,4,FALSE))</f>
        <v>0</v>
      </c>
      <c r="V65" s="64"/>
      <c r="W65" s="64"/>
      <c r="X65" s="64"/>
      <c r="Y65" s="64"/>
      <c r="Z65" s="64"/>
      <c r="AA65" s="64"/>
      <c r="AB65" s="64"/>
      <c r="AC65" s="64"/>
      <c r="AD65" s="130"/>
      <c r="AE65" s="130"/>
      <c r="AF65" s="130"/>
      <c r="AG65" s="130"/>
    </row>
    <row r="66" spans="1:33" s="28" customFormat="1" ht="20.25" hidden="1" customHeight="1" outlineLevel="1">
      <c r="A66" s="319"/>
      <c r="B66" s="334"/>
      <c r="C66" s="138"/>
      <c r="D66" s="36" t="s">
        <v>0</v>
      </c>
      <c r="E66" s="30" t="s">
        <v>229</v>
      </c>
      <c r="F66" s="71">
        <v>1</v>
      </c>
      <c r="G66" s="72">
        <v>2</v>
      </c>
      <c r="H66" s="73">
        <v>3</v>
      </c>
      <c r="I66" s="74">
        <v>4</v>
      </c>
      <c r="J66" s="75">
        <v>5</v>
      </c>
      <c r="K66" s="76">
        <v>6</v>
      </c>
      <c r="L66" s="77">
        <v>7</v>
      </c>
      <c r="M66" s="78">
        <v>8</v>
      </c>
      <c r="N66" s="79">
        <v>9</v>
      </c>
      <c r="O66" s="80">
        <v>10</v>
      </c>
      <c r="P66" s="32" t="s">
        <v>0</v>
      </c>
      <c r="Q66" s="139"/>
      <c r="R66" s="334"/>
      <c r="S66" s="133">
        <f>VLOOKUP($E66,R.VL_DEQResourcesInvolved,2,FALSE)</f>
        <v>0</v>
      </c>
      <c r="T66" s="121">
        <f>VLOOKUP($E66,R.VL_DEQResourcesInvolved,3,FALSE)</f>
        <v>0</v>
      </c>
      <c r="U66" s="121">
        <f>IF(S66=10,T66,VLOOKUP($E66,R.VL_DEQResourcesInvolved,4,FALSE))</f>
        <v>0</v>
      </c>
      <c r="V66" s="64"/>
      <c r="W66" s="64"/>
      <c r="X66" s="64"/>
      <c r="Y66" s="64"/>
      <c r="Z66" s="64"/>
      <c r="AA66" s="64"/>
      <c r="AB66" s="64"/>
      <c r="AC66" s="64"/>
      <c r="AD66" s="130"/>
      <c r="AE66" s="130"/>
      <c r="AF66" s="130"/>
      <c r="AG66" s="130"/>
    </row>
    <row r="67" spans="1:33" s="28" customFormat="1" ht="14.25" customHeight="1" collapsed="1">
      <c r="A67" s="319"/>
      <c r="B67" s="334"/>
      <c r="C67" s="142"/>
      <c r="D67" s="443" t="s">
        <v>52</v>
      </c>
      <c r="E67" s="31"/>
      <c r="F67" s="31"/>
      <c r="G67" s="31"/>
      <c r="H67" s="31"/>
      <c r="I67" s="31"/>
      <c r="J67" s="31"/>
      <c r="K67" s="31"/>
      <c r="L67" s="31"/>
      <c r="M67" s="31"/>
      <c r="N67" s="31"/>
      <c r="O67" s="31"/>
      <c r="P67" s="31"/>
      <c r="Q67" s="143"/>
      <c r="R67" s="334"/>
      <c r="S67" s="499"/>
      <c r="T67" s="131"/>
      <c r="U67" s="131"/>
      <c r="V67" s="64"/>
      <c r="W67" s="64"/>
      <c r="X67" s="64"/>
      <c r="Y67" s="64"/>
      <c r="Z67" s="64"/>
      <c r="AA67" s="64"/>
      <c r="AB67" s="64"/>
      <c r="AC67" s="64"/>
      <c r="AD67" s="130"/>
      <c r="AE67" s="130"/>
      <c r="AF67" s="130"/>
      <c r="AG67" s="130"/>
    </row>
    <row r="68" spans="1:33" s="28" customFormat="1" ht="20.25" customHeight="1">
      <c r="A68" s="319"/>
      <c r="B68" s="334"/>
      <c r="C68" s="138"/>
      <c r="D68" s="724" t="s">
        <v>0</v>
      </c>
      <c r="E68" s="725"/>
      <c r="F68" s="725"/>
      <c r="G68" s="725"/>
      <c r="H68" s="725"/>
      <c r="I68" s="725"/>
      <c r="J68" s="725"/>
      <c r="K68" s="725"/>
      <c r="L68" s="725"/>
      <c r="M68" s="725"/>
      <c r="N68" s="725"/>
      <c r="O68" s="725"/>
      <c r="P68" s="726"/>
      <c r="Q68" s="139"/>
      <c r="R68" s="334"/>
      <c r="S68" s="499"/>
      <c r="T68" s="131"/>
      <c r="U68" s="131"/>
      <c r="V68" s="64"/>
      <c r="W68" s="64"/>
      <c r="X68" s="64"/>
      <c r="Y68" s="64"/>
      <c r="Z68" s="64"/>
      <c r="AA68" s="64"/>
      <c r="AB68" s="64"/>
      <c r="AC68" s="64"/>
      <c r="AD68" s="130"/>
      <c r="AE68" s="130"/>
      <c r="AF68" s="130"/>
      <c r="AG68" s="130"/>
    </row>
    <row r="69" spans="1:33" s="33" customFormat="1" ht="14.25" customHeight="1">
      <c r="A69" s="319"/>
      <c r="B69" s="334"/>
      <c r="C69" s="136"/>
      <c r="D69" s="442" t="s">
        <v>60</v>
      </c>
      <c r="E69" s="105" t="s">
        <v>18</v>
      </c>
      <c r="F69" s="749" t="s">
        <v>19</v>
      </c>
      <c r="G69" s="749"/>
      <c r="H69" s="749"/>
      <c r="I69" s="749"/>
      <c r="J69" s="749"/>
      <c r="K69" s="749"/>
      <c r="L69" s="749"/>
      <c r="M69" s="749"/>
      <c r="N69" s="749"/>
      <c r="O69" s="749"/>
      <c r="P69" s="105" t="s">
        <v>20</v>
      </c>
      <c r="Q69" s="137"/>
      <c r="R69" s="334"/>
      <c r="S69" s="499"/>
      <c r="T69" s="131"/>
      <c r="U69" s="131"/>
      <c r="V69" s="129"/>
      <c r="W69" s="129"/>
      <c r="X69" s="129"/>
      <c r="Y69" s="129"/>
      <c r="Z69" s="129"/>
      <c r="AA69" s="129"/>
      <c r="AB69" s="129"/>
      <c r="AC69" s="129"/>
      <c r="AD69" s="127"/>
      <c r="AE69" s="127"/>
      <c r="AF69" s="127"/>
      <c r="AG69" s="127"/>
    </row>
    <row r="70" spans="1:33" s="28" customFormat="1" ht="20.25" customHeight="1">
      <c r="A70" s="319"/>
      <c r="B70" s="334"/>
      <c r="C70" s="138"/>
      <c r="D70" s="36" t="s">
        <v>0</v>
      </c>
      <c r="E70" s="30" t="s">
        <v>229</v>
      </c>
      <c r="F70" s="71">
        <v>1</v>
      </c>
      <c r="G70" s="72">
        <v>2</v>
      </c>
      <c r="H70" s="73">
        <v>3</v>
      </c>
      <c r="I70" s="74">
        <v>4</v>
      </c>
      <c r="J70" s="75">
        <v>5</v>
      </c>
      <c r="K70" s="76">
        <v>6</v>
      </c>
      <c r="L70" s="77">
        <v>7</v>
      </c>
      <c r="M70" s="78">
        <v>8</v>
      </c>
      <c r="N70" s="79">
        <v>9</v>
      </c>
      <c r="O70" s="80">
        <v>10</v>
      </c>
      <c r="P70" s="32" t="s">
        <v>0</v>
      </c>
      <c r="Q70" s="139"/>
      <c r="R70" s="334"/>
      <c r="S70" s="133">
        <f>VLOOKUP($E70,R.VL_DEQResourcesInvolved,2,FALSE)</f>
        <v>0</v>
      </c>
      <c r="T70" s="121">
        <f>VLOOKUP($E70,R.VL_DEQResourcesInvolved,3,FALSE)</f>
        <v>0</v>
      </c>
      <c r="U70" s="121">
        <f>IF(S70=10,T70,VLOOKUP($E70,R.VL_DEQResourcesInvolved,4,FALSE))</f>
        <v>0</v>
      </c>
      <c r="V70" s="575" t="s">
        <v>554</v>
      </c>
      <c r="W70" s="64"/>
      <c r="X70" s="64"/>
      <c r="Y70" s="64"/>
      <c r="Z70" s="64"/>
      <c r="AA70" s="64"/>
      <c r="AB70" s="64"/>
      <c r="AC70" s="64"/>
      <c r="AD70" s="130"/>
      <c r="AE70" s="130"/>
      <c r="AF70" s="130"/>
      <c r="AG70" s="130"/>
    </row>
    <row r="71" spans="1:33" s="28" customFormat="1" ht="20.25" hidden="1" customHeight="1" outlineLevel="1">
      <c r="A71" s="319"/>
      <c r="B71" s="334"/>
      <c r="C71" s="138"/>
      <c r="D71" s="36" t="s">
        <v>0</v>
      </c>
      <c r="E71" s="30" t="s">
        <v>229</v>
      </c>
      <c r="F71" s="71">
        <v>1</v>
      </c>
      <c r="G71" s="72">
        <v>2</v>
      </c>
      <c r="H71" s="73">
        <v>3</v>
      </c>
      <c r="I71" s="74">
        <v>4</v>
      </c>
      <c r="J71" s="75">
        <v>5</v>
      </c>
      <c r="K71" s="76">
        <v>6</v>
      </c>
      <c r="L71" s="77">
        <v>7</v>
      </c>
      <c r="M71" s="78">
        <v>8</v>
      </c>
      <c r="N71" s="79">
        <v>9</v>
      </c>
      <c r="O71" s="80">
        <v>10</v>
      </c>
      <c r="P71" s="32" t="s">
        <v>0</v>
      </c>
      <c r="Q71" s="139"/>
      <c r="R71" s="334"/>
      <c r="S71" s="133">
        <f>VLOOKUP($E71,R.VL_DEQResourcesInvolved,2,FALSE)</f>
        <v>0</v>
      </c>
      <c r="T71" s="121">
        <f>VLOOKUP($E71,R.VL_DEQResourcesInvolved,3,FALSE)</f>
        <v>0</v>
      </c>
      <c r="U71" s="121">
        <f>IF(S71=10,T71,VLOOKUP($E71,R.VL_DEQResourcesInvolved,4,FALSE))</f>
        <v>0</v>
      </c>
      <c r="V71" s="64"/>
      <c r="W71" s="64"/>
      <c r="X71" s="64"/>
      <c r="Y71" s="64"/>
      <c r="Z71" s="64"/>
      <c r="AA71" s="64"/>
      <c r="AB71" s="64"/>
      <c r="AC71" s="64"/>
      <c r="AD71" s="130"/>
      <c r="AE71" s="130"/>
      <c r="AF71" s="130"/>
      <c r="AG71" s="130"/>
    </row>
    <row r="72" spans="1:33" s="28" customFormat="1" ht="20.25" hidden="1" customHeight="1" outlineLevel="1">
      <c r="A72" s="319"/>
      <c r="B72" s="334"/>
      <c r="C72" s="138"/>
      <c r="D72" s="36" t="s">
        <v>0</v>
      </c>
      <c r="E72" s="30" t="s">
        <v>229</v>
      </c>
      <c r="F72" s="71">
        <v>1</v>
      </c>
      <c r="G72" s="72">
        <v>2</v>
      </c>
      <c r="H72" s="73">
        <v>3</v>
      </c>
      <c r="I72" s="74">
        <v>4</v>
      </c>
      <c r="J72" s="75">
        <v>5</v>
      </c>
      <c r="K72" s="76">
        <v>6</v>
      </c>
      <c r="L72" s="77">
        <v>7</v>
      </c>
      <c r="M72" s="78">
        <v>8</v>
      </c>
      <c r="N72" s="79">
        <v>9</v>
      </c>
      <c r="O72" s="80">
        <v>10</v>
      </c>
      <c r="P72" s="32" t="s">
        <v>0</v>
      </c>
      <c r="Q72" s="139"/>
      <c r="R72" s="334"/>
      <c r="S72" s="133">
        <f>VLOOKUP($E72,R.VL_DEQResourcesInvolved,2,FALSE)</f>
        <v>0</v>
      </c>
      <c r="T72" s="121">
        <f>VLOOKUP($E72,R.VL_DEQResourcesInvolved,3,FALSE)</f>
        <v>0</v>
      </c>
      <c r="U72" s="121">
        <f>IF(S72=10,T72,VLOOKUP($E72,R.VL_DEQResourcesInvolved,4,FALSE))</f>
        <v>0</v>
      </c>
      <c r="V72" s="64"/>
      <c r="W72" s="64"/>
      <c r="X72" s="64"/>
      <c r="Y72" s="64"/>
      <c r="Z72" s="64"/>
      <c r="AA72" s="64"/>
      <c r="AB72" s="64"/>
      <c r="AC72" s="64"/>
      <c r="AD72" s="130"/>
      <c r="AE72" s="130"/>
      <c r="AF72" s="130"/>
      <c r="AG72" s="130"/>
    </row>
    <row r="73" spans="1:33" s="28" customFormat="1" ht="20.25" hidden="1" customHeight="1" outlineLevel="1">
      <c r="A73" s="319"/>
      <c r="B73" s="334"/>
      <c r="C73" s="138"/>
      <c r="D73" s="36" t="s">
        <v>0</v>
      </c>
      <c r="E73" s="30" t="s">
        <v>229</v>
      </c>
      <c r="F73" s="71">
        <v>1</v>
      </c>
      <c r="G73" s="72">
        <v>2</v>
      </c>
      <c r="H73" s="73">
        <v>3</v>
      </c>
      <c r="I73" s="74">
        <v>4</v>
      </c>
      <c r="J73" s="75">
        <v>5</v>
      </c>
      <c r="K73" s="76">
        <v>6</v>
      </c>
      <c r="L73" s="77">
        <v>7</v>
      </c>
      <c r="M73" s="78">
        <v>8</v>
      </c>
      <c r="N73" s="79">
        <v>9</v>
      </c>
      <c r="O73" s="80">
        <v>10</v>
      </c>
      <c r="P73" s="32" t="s">
        <v>0</v>
      </c>
      <c r="Q73" s="139"/>
      <c r="R73" s="334"/>
      <c r="S73" s="133">
        <f>VLOOKUP($E73,R.VL_DEQResourcesInvolved,2,FALSE)</f>
        <v>0</v>
      </c>
      <c r="T73" s="121">
        <f>VLOOKUP($E73,R.VL_DEQResourcesInvolved,3,FALSE)</f>
        <v>0</v>
      </c>
      <c r="U73" s="121">
        <f>IF(S73=10,T73,VLOOKUP($E73,R.VL_DEQResourcesInvolved,4,FALSE))</f>
        <v>0</v>
      </c>
      <c r="V73" s="64"/>
      <c r="W73" s="64"/>
      <c r="X73" s="64"/>
      <c r="Y73" s="64"/>
      <c r="Z73" s="64"/>
      <c r="AA73" s="64"/>
      <c r="AB73" s="64"/>
      <c r="AC73" s="64"/>
      <c r="AD73" s="130"/>
      <c r="AE73" s="130"/>
      <c r="AF73" s="130"/>
      <c r="AG73" s="130"/>
    </row>
    <row r="74" spans="1:33" s="28" customFormat="1" ht="14.25" customHeight="1" collapsed="1">
      <c r="A74" s="319"/>
      <c r="B74" s="334"/>
      <c r="C74" s="144"/>
      <c r="D74" s="101"/>
      <c r="E74" s="738"/>
      <c r="F74" s="738"/>
      <c r="G74" s="738"/>
      <c r="H74" s="738"/>
      <c r="I74" s="738"/>
      <c r="J74" s="738"/>
      <c r="K74" s="738"/>
      <c r="L74" s="738"/>
      <c r="M74" s="738"/>
      <c r="N74" s="738"/>
      <c r="O74" s="738"/>
      <c r="P74" s="738"/>
      <c r="Q74" s="145"/>
      <c r="R74" s="334"/>
      <c r="S74" s="499"/>
      <c r="T74" s="128"/>
      <c r="U74" s="128"/>
      <c r="V74" s="64"/>
      <c r="W74" s="64"/>
      <c r="X74" s="64"/>
      <c r="Y74" s="64"/>
      <c r="Z74" s="64"/>
      <c r="AA74" s="64"/>
      <c r="AB74" s="64"/>
      <c r="AC74" s="64"/>
      <c r="AD74" s="130"/>
      <c r="AE74" s="130"/>
      <c r="AF74" s="130"/>
      <c r="AG74" s="130"/>
    </row>
    <row r="75" spans="1:33" s="29" customFormat="1" ht="30" customHeight="1">
      <c r="A75" s="319"/>
      <c r="B75" s="334"/>
      <c r="C75" s="146"/>
      <c r="D75" s="644" t="str">
        <f>"Please suggest process improvements to the "&amp;D2&amp;" worksheet."</f>
        <v>Please suggest process improvements to the Organizational Services worksheet.</v>
      </c>
      <c r="E75" s="644"/>
      <c r="F75" s="644"/>
      <c r="G75" s="644"/>
      <c r="H75" s="644"/>
      <c r="I75" s="644"/>
      <c r="J75" s="644"/>
      <c r="K75" s="89"/>
      <c r="L75" s="90"/>
      <c r="M75" s="91"/>
      <c r="N75" s="92"/>
      <c r="O75" s="93"/>
      <c r="P75" s="39"/>
      <c r="Q75" s="147"/>
      <c r="R75" s="334"/>
      <c r="S75"/>
      <c r="T75" s="131"/>
      <c r="U75" s="131"/>
      <c r="V75" s="64"/>
      <c r="W75" s="64"/>
      <c r="X75" s="64"/>
      <c r="Y75" s="64"/>
      <c r="Z75" s="64"/>
      <c r="AA75" s="64"/>
      <c r="AB75" s="64"/>
      <c r="AC75" s="64"/>
      <c r="AD75" s="65"/>
      <c r="AE75" s="65"/>
      <c r="AF75" s="65"/>
      <c r="AG75" s="65"/>
    </row>
    <row r="76" spans="1:33" s="6" customFormat="1" ht="30.75" customHeight="1">
      <c r="A76" s="319"/>
      <c r="B76" s="334"/>
      <c r="C76" s="136"/>
      <c r="D76" s="641"/>
      <c r="E76" s="642"/>
      <c r="F76" s="642"/>
      <c r="G76" s="642"/>
      <c r="H76" s="642"/>
      <c r="I76" s="642"/>
      <c r="J76" s="642"/>
      <c r="K76" s="642"/>
      <c r="L76" s="642"/>
      <c r="M76" s="642"/>
      <c r="N76" s="642"/>
      <c r="O76" s="642"/>
      <c r="P76" s="643"/>
      <c r="Q76" s="148"/>
      <c r="R76" s="334"/>
      <c r="S76"/>
      <c r="T76" s="131"/>
      <c r="U76" s="131"/>
      <c r="V76" s="64"/>
      <c r="W76" s="64"/>
      <c r="X76" s="64"/>
      <c r="Y76" s="64"/>
      <c r="Z76" s="64"/>
      <c r="AA76" s="64"/>
      <c r="AB76" s="64"/>
      <c r="AC76" s="64"/>
      <c r="AD76" s="66"/>
      <c r="AE76" s="66"/>
      <c r="AF76" s="66"/>
      <c r="AG76" s="66"/>
    </row>
    <row r="77" spans="1:33" ht="18" customHeight="1">
      <c r="A77" s="350" t="s">
        <v>108</v>
      </c>
      <c r="B77" s="334"/>
      <c r="C77" s="149"/>
      <c r="D77" s="150"/>
      <c r="E77" s="150"/>
      <c r="F77" s="150"/>
      <c r="G77" s="150"/>
      <c r="H77" s="150"/>
      <c r="I77" s="150"/>
      <c r="J77" s="150"/>
      <c r="K77" s="150"/>
      <c r="L77" s="150"/>
      <c r="M77" s="150"/>
      <c r="N77" s="150"/>
      <c r="O77" s="150"/>
      <c r="P77" s="150"/>
      <c r="Q77" s="151"/>
      <c r="R77" s="334"/>
      <c r="S77"/>
    </row>
    <row r="78" spans="1:33" s="64" customFormat="1" ht="14.25">
      <c r="A78" s="312"/>
      <c r="B78" s="334"/>
      <c r="C78" s="334"/>
      <c r="D78" s="334"/>
      <c r="E78" s="334"/>
      <c r="F78" s="334"/>
      <c r="G78" s="334"/>
      <c r="H78" s="334"/>
      <c r="I78" s="334"/>
      <c r="J78" s="334"/>
      <c r="K78" s="334"/>
      <c r="L78" s="334"/>
      <c r="M78" s="334"/>
      <c r="N78" s="334"/>
      <c r="O78" s="334"/>
      <c r="P78" s="334"/>
      <c r="Q78" s="334"/>
      <c r="R78" s="334"/>
      <c r="S78"/>
    </row>
    <row r="79" spans="1:33" s="64" customFormat="1" ht="14.25" customHeight="1">
      <c r="A79" s="312"/>
      <c r="C79" s="112"/>
      <c r="S79"/>
    </row>
    <row r="80" spans="1:33" s="64" customFormat="1">
      <c r="A80" s="312"/>
      <c r="C80" s="112"/>
      <c r="S80" s="113"/>
    </row>
    <row r="81" spans="1:19" s="64" customFormat="1">
      <c r="A81" s="312"/>
      <c r="C81" s="112"/>
      <c r="S81" s="113"/>
    </row>
    <row r="82" spans="1:19" s="64" customFormat="1">
      <c r="A82" s="312"/>
      <c r="C82" s="112"/>
      <c r="S82" s="113"/>
    </row>
    <row r="83" spans="1:19" s="64" customFormat="1">
      <c r="A83" s="312"/>
      <c r="C83" s="112"/>
      <c r="S83" s="113"/>
    </row>
    <row r="84" spans="1:19" s="64" customFormat="1">
      <c r="A84" s="312"/>
      <c r="C84" s="112"/>
      <c r="S84" s="113"/>
    </row>
  </sheetData>
  <sheetProtection sheet="1" scenarios="1" formatCells="0" formatRows="0" insertHyperlinks="0"/>
  <mergeCells count="27">
    <mergeCell ref="D7:P7"/>
    <mergeCell ref="D8:P8"/>
    <mergeCell ref="D9:P9"/>
    <mergeCell ref="E2:P2"/>
    <mergeCell ref="M3:P3"/>
    <mergeCell ref="F4:L4"/>
    <mergeCell ref="M4:P4"/>
    <mergeCell ref="F5:L5"/>
    <mergeCell ref="M5:P5"/>
    <mergeCell ref="D61:P61"/>
    <mergeCell ref="D68:P68"/>
    <mergeCell ref="D76:P76"/>
    <mergeCell ref="D52:P52"/>
    <mergeCell ref="F62:O62"/>
    <mergeCell ref="F69:O69"/>
    <mergeCell ref="D75:J75"/>
    <mergeCell ref="E74:P74"/>
    <mergeCell ref="D13:P13"/>
    <mergeCell ref="F14:O14"/>
    <mergeCell ref="D20:P20"/>
    <mergeCell ref="E58:P58"/>
    <mergeCell ref="F46:O46"/>
    <mergeCell ref="E26:P26"/>
    <mergeCell ref="D29:P29"/>
    <mergeCell ref="D36:P36"/>
    <mergeCell ref="E42:P42"/>
    <mergeCell ref="D45:P45"/>
  </mergeCells>
  <conditionalFormatting sqref="F77:O77 K75:O75 F15:O18 F22:O27 F31:O34 F38:O42 F63:O66 F70:O74 F47:O50 F54:O59">
    <cfRule type="colorScale" priority="292">
      <colorScale>
        <cfvo type="num" val="0"/>
        <cfvo type="num" val="5"/>
        <cfvo type="num" val="10"/>
        <color rgb="FF00B050"/>
        <color rgb="FFFFFF00"/>
        <color rgb="FFFF0000"/>
      </colorScale>
    </cfRule>
  </conditionalFormatting>
  <conditionalFormatting sqref="N26:N27 N75 N77">
    <cfRule type="expression" dxfId="1799" priority="291" stopIfTrue="1">
      <formula>IF($S26&lt;9,TRUE,)</formula>
    </cfRule>
  </conditionalFormatting>
  <conditionalFormatting sqref="M26:M27 M75 M77">
    <cfRule type="expression" dxfId="1798" priority="290" stopIfTrue="1">
      <formula>IF($S26&lt;8,TRUE,)</formula>
    </cfRule>
  </conditionalFormatting>
  <conditionalFormatting sqref="L26:L27 L75 L77">
    <cfRule type="expression" dxfId="1797" priority="289" stopIfTrue="1">
      <formula>IF($S26&lt;7,TRUE,)</formula>
    </cfRule>
  </conditionalFormatting>
  <conditionalFormatting sqref="K26:K27 K75 K77">
    <cfRule type="expression" dxfId="1796" priority="288" stopIfTrue="1">
      <formula>IF($S26&lt;6,TRUE,)</formula>
    </cfRule>
  </conditionalFormatting>
  <conditionalFormatting sqref="J26:J27 J77">
    <cfRule type="expression" dxfId="1795" priority="287" stopIfTrue="1">
      <formula>IF($S26&lt;5,TRUE,)</formula>
    </cfRule>
  </conditionalFormatting>
  <conditionalFormatting sqref="I26:I27 I77">
    <cfRule type="expression" dxfId="1794" priority="286" stopIfTrue="1">
      <formula>IF($S26&lt;4,TRUE,)</formula>
    </cfRule>
  </conditionalFormatting>
  <conditionalFormatting sqref="H26:H27 H77">
    <cfRule type="expression" dxfId="1793" priority="285" stopIfTrue="1">
      <formula>IF($S26&lt;3,TRUE,)</formula>
    </cfRule>
  </conditionalFormatting>
  <conditionalFormatting sqref="G26:G27 G77">
    <cfRule type="expression" dxfId="1792" priority="284" stopIfTrue="1">
      <formula>IF($S26&lt;2,TRUE,)</formula>
    </cfRule>
  </conditionalFormatting>
  <conditionalFormatting sqref="F26:F27 F77">
    <cfRule type="expression" dxfId="1791" priority="283" stopIfTrue="1">
      <formula>IF($S26&lt;1,TRUE,)</formula>
    </cfRule>
  </conditionalFormatting>
  <conditionalFormatting sqref="O26:O27 O75 O77">
    <cfRule type="expression" dxfId="1790" priority="282" stopIfTrue="1">
      <formula>IF($S26&lt;10,TRUE,)</formula>
    </cfRule>
  </conditionalFormatting>
  <conditionalFormatting sqref="N15:N16">
    <cfRule type="expression" dxfId="1789" priority="280" stopIfTrue="1">
      <formula>IF($S15&lt;9,TRUE,)</formula>
    </cfRule>
  </conditionalFormatting>
  <conditionalFormatting sqref="M15:M16">
    <cfRule type="expression" dxfId="1788" priority="279" stopIfTrue="1">
      <formula>IF($S15&lt;8,TRUE,)</formula>
    </cfRule>
  </conditionalFormatting>
  <conditionalFormatting sqref="L15:L16">
    <cfRule type="expression" dxfId="1787" priority="278" stopIfTrue="1">
      <formula>IF($S15&lt;7,TRUE,)</formula>
    </cfRule>
  </conditionalFormatting>
  <conditionalFormatting sqref="K15:K16">
    <cfRule type="expression" dxfId="1786" priority="277" stopIfTrue="1">
      <formula>IF($S15&lt;6,TRUE,)</formula>
    </cfRule>
  </conditionalFormatting>
  <conditionalFormatting sqref="J15:J16">
    <cfRule type="expression" dxfId="1785" priority="276" stopIfTrue="1">
      <formula>IF($S15&lt;5,TRUE,)</formula>
    </cfRule>
  </conditionalFormatting>
  <conditionalFormatting sqref="I15:I16">
    <cfRule type="expression" dxfId="1784" priority="275" stopIfTrue="1">
      <formula>IF($S15&lt;4,TRUE,)</formula>
    </cfRule>
  </conditionalFormatting>
  <conditionalFormatting sqref="H15:H16">
    <cfRule type="expression" dxfId="1783" priority="274" stopIfTrue="1">
      <formula>IF($S15&lt;3,TRUE,)</formula>
    </cfRule>
  </conditionalFormatting>
  <conditionalFormatting sqref="G15:G16">
    <cfRule type="expression" dxfId="1782" priority="273" stopIfTrue="1">
      <formula>IF($S15&lt;2,TRUE,)</formula>
    </cfRule>
  </conditionalFormatting>
  <conditionalFormatting sqref="F15:F16">
    <cfRule type="expression" dxfId="1781" priority="272" stopIfTrue="1">
      <formula>IF($S15&lt;1,TRUE,)</formula>
    </cfRule>
  </conditionalFormatting>
  <conditionalFormatting sqref="O15:O16">
    <cfRule type="expression" dxfId="1780" priority="271" stopIfTrue="1">
      <formula>IF($S15&lt;10,TRUE,)</formula>
    </cfRule>
  </conditionalFormatting>
  <conditionalFormatting sqref="N22:N23">
    <cfRule type="expression" dxfId="1779" priority="269" stopIfTrue="1">
      <formula>IF($S22&lt;9,TRUE,)</formula>
    </cfRule>
  </conditionalFormatting>
  <conditionalFormatting sqref="M22:M23">
    <cfRule type="expression" dxfId="1778" priority="268" stopIfTrue="1">
      <formula>IF($S22&lt;8,TRUE,)</formula>
    </cfRule>
  </conditionalFormatting>
  <conditionalFormatting sqref="L22:L23">
    <cfRule type="expression" dxfId="1777" priority="267" stopIfTrue="1">
      <formula>IF($S22&lt;7,TRUE,)</formula>
    </cfRule>
  </conditionalFormatting>
  <conditionalFormatting sqref="K22:K23">
    <cfRule type="expression" dxfId="1776" priority="266" stopIfTrue="1">
      <formula>IF($S22&lt;6,TRUE,)</formula>
    </cfRule>
  </conditionalFormatting>
  <conditionalFormatting sqref="J22:J23">
    <cfRule type="expression" dxfId="1775" priority="265" stopIfTrue="1">
      <formula>IF($S22&lt;5,TRUE,)</formula>
    </cfRule>
  </conditionalFormatting>
  <conditionalFormatting sqref="I22:I23">
    <cfRule type="expression" dxfId="1774" priority="264" stopIfTrue="1">
      <formula>IF($S22&lt;4,TRUE,)</formula>
    </cfRule>
  </conditionalFormatting>
  <conditionalFormatting sqref="H22:H23">
    <cfRule type="expression" dxfId="1773" priority="263" stopIfTrue="1">
      <formula>IF($S22&lt;3,TRUE,)</formula>
    </cfRule>
  </conditionalFormatting>
  <conditionalFormatting sqref="G22:G23">
    <cfRule type="expression" dxfId="1772" priority="262" stopIfTrue="1">
      <formula>IF($S22&lt;2,TRUE,)</formula>
    </cfRule>
  </conditionalFormatting>
  <conditionalFormatting sqref="F22:F23">
    <cfRule type="expression" dxfId="1771" priority="261" stopIfTrue="1">
      <formula>IF($S22&lt;1,TRUE,)</formula>
    </cfRule>
  </conditionalFormatting>
  <conditionalFormatting sqref="O22:O23">
    <cfRule type="expression" dxfId="1770" priority="260" stopIfTrue="1">
      <formula>IF($S22&lt;10,TRUE,)</formula>
    </cfRule>
  </conditionalFormatting>
  <conditionalFormatting sqref="N42">
    <cfRule type="expression" dxfId="1769" priority="258" stopIfTrue="1">
      <formula>IF($S42&lt;9,TRUE,)</formula>
    </cfRule>
  </conditionalFormatting>
  <conditionalFormatting sqref="M42">
    <cfRule type="expression" dxfId="1768" priority="257" stopIfTrue="1">
      <formula>IF($S42&lt;8,TRUE,)</formula>
    </cfRule>
  </conditionalFormatting>
  <conditionalFormatting sqref="L42">
    <cfRule type="expression" dxfId="1767" priority="256" stopIfTrue="1">
      <formula>IF($S42&lt;7,TRUE,)</formula>
    </cfRule>
  </conditionalFormatting>
  <conditionalFormatting sqref="K42">
    <cfRule type="expression" dxfId="1766" priority="255" stopIfTrue="1">
      <formula>IF($S42&lt;6,TRUE,)</formula>
    </cfRule>
  </conditionalFormatting>
  <conditionalFormatting sqref="J42">
    <cfRule type="expression" dxfId="1765" priority="254" stopIfTrue="1">
      <formula>IF($S42&lt;5,TRUE,)</formula>
    </cfRule>
  </conditionalFormatting>
  <conditionalFormatting sqref="I42">
    <cfRule type="expression" dxfId="1764" priority="253" stopIfTrue="1">
      <formula>IF($S42&lt;4,TRUE,)</formula>
    </cfRule>
  </conditionalFormatting>
  <conditionalFormatting sqref="H42">
    <cfRule type="expression" dxfId="1763" priority="252" stopIfTrue="1">
      <formula>IF($S42&lt;3,TRUE,)</formula>
    </cfRule>
  </conditionalFormatting>
  <conditionalFormatting sqref="G42">
    <cfRule type="expression" dxfId="1762" priority="251" stopIfTrue="1">
      <formula>IF($S42&lt;2,TRUE,)</formula>
    </cfRule>
  </conditionalFormatting>
  <conditionalFormatting sqref="F42">
    <cfRule type="expression" dxfId="1761" priority="250" stopIfTrue="1">
      <formula>IF($S42&lt;1,TRUE,)</formula>
    </cfRule>
  </conditionalFormatting>
  <conditionalFormatting sqref="O42">
    <cfRule type="expression" dxfId="1760" priority="249" stopIfTrue="1">
      <formula>IF($S42&lt;10,TRUE,)</formula>
    </cfRule>
  </conditionalFormatting>
  <conditionalFormatting sqref="N31:N32">
    <cfRule type="expression" dxfId="1759" priority="247" stopIfTrue="1">
      <formula>IF($S31&lt;9,TRUE,)</formula>
    </cfRule>
  </conditionalFormatting>
  <conditionalFormatting sqref="M31:M32">
    <cfRule type="expression" dxfId="1758" priority="246" stopIfTrue="1">
      <formula>IF($S31&lt;8,TRUE,)</formula>
    </cfRule>
  </conditionalFormatting>
  <conditionalFormatting sqref="L31:L32">
    <cfRule type="expression" dxfId="1757" priority="245" stopIfTrue="1">
      <formula>IF($S31&lt;7,TRUE,)</formula>
    </cfRule>
  </conditionalFormatting>
  <conditionalFormatting sqref="K31:K32">
    <cfRule type="expression" dxfId="1756" priority="244" stopIfTrue="1">
      <formula>IF($S31&lt;6,TRUE,)</formula>
    </cfRule>
  </conditionalFormatting>
  <conditionalFormatting sqref="J31:J32">
    <cfRule type="expression" dxfId="1755" priority="243" stopIfTrue="1">
      <formula>IF($S31&lt;5,TRUE,)</formula>
    </cfRule>
  </conditionalFormatting>
  <conditionalFormatting sqref="I31:I32">
    <cfRule type="expression" dxfId="1754" priority="242" stopIfTrue="1">
      <formula>IF($S31&lt;4,TRUE,)</formula>
    </cfRule>
  </conditionalFormatting>
  <conditionalFormatting sqref="H31:H32">
    <cfRule type="expression" dxfId="1753" priority="241" stopIfTrue="1">
      <formula>IF($S31&lt;3,TRUE,)</formula>
    </cfRule>
  </conditionalFormatting>
  <conditionalFormatting sqref="G31:G32">
    <cfRule type="expression" dxfId="1752" priority="240" stopIfTrue="1">
      <formula>IF($S31&lt;2,TRUE,)</formula>
    </cfRule>
  </conditionalFormatting>
  <conditionalFormatting sqref="F31:F32">
    <cfRule type="expression" dxfId="1751" priority="239" stopIfTrue="1">
      <formula>IF($S31&lt;1,TRUE,)</formula>
    </cfRule>
  </conditionalFormatting>
  <conditionalFormatting sqref="O31:O32">
    <cfRule type="expression" dxfId="1750" priority="238" stopIfTrue="1">
      <formula>IF($S31&lt;10,TRUE,)</formula>
    </cfRule>
  </conditionalFormatting>
  <conditionalFormatting sqref="N38:N39">
    <cfRule type="expression" dxfId="1749" priority="236" stopIfTrue="1">
      <formula>IF($S38&lt;9,TRUE,)</formula>
    </cfRule>
  </conditionalFormatting>
  <conditionalFormatting sqref="M38:M39">
    <cfRule type="expression" dxfId="1748" priority="235" stopIfTrue="1">
      <formula>IF($S38&lt;8,TRUE,)</formula>
    </cfRule>
  </conditionalFormatting>
  <conditionalFormatting sqref="L38:L39">
    <cfRule type="expression" dxfId="1747" priority="234" stopIfTrue="1">
      <formula>IF($S38&lt;7,TRUE,)</formula>
    </cfRule>
  </conditionalFormatting>
  <conditionalFormatting sqref="K38:K39">
    <cfRule type="expression" dxfId="1746" priority="233" stopIfTrue="1">
      <formula>IF($S38&lt;6,TRUE,)</formula>
    </cfRule>
  </conditionalFormatting>
  <conditionalFormatting sqref="J38:J39">
    <cfRule type="expression" dxfId="1745" priority="232" stopIfTrue="1">
      <formula>IF($S38&lt;5,TRUE,)</formula>
    </cfRule>
  </conditionalFormatting>
  <conditionalFormatting sqref="I38:I39">
    <cfRule type="expression" dxfId="1744" priority="231" stopIfTrue="1">
      <formula>IF($S38&lt;4,TRUE,)</formula>
    </cfRule>
  </conditionalFormatting>
  <conditionalFormatting sqref="H38:H39">
    <cfRule type="expression" dxfId="1743" priority="230" stopIfTrue="1">
      <formula>IF($S38&lt;3,TRUE,)</formula>
    </cfRule>
  </conditionalFormatting>
  <conditionalFormatting sqref="G38:G39">
    <cfRule type="expression" dxfId="1742" priority="229" stopIfTrue="1">
      <formula>IF($S38&lt;2,TRUE,)</formula>
    </cfRule>
  </conditionalFormatting>
  <conditionalFormatting sqref="F38:F39">
    <cfRule type="expression" dxfId="1741" priority="228" stopIfTrue="1">
      <formula>IF($S38&lt;1,TRUE,)</formula>
    </cfRule>
  </conditionalFormatting>
  <conditionalFormatting sqref="O38:O39">
    <cfRule type="expression" dxfId="1740" priority="227" stopIfTrue="1">
      <formula>IF($S38&lt;10,TRUE,)</formula>
    </cfRule>
  </conditionalFormatting>
  <conditionalFormatting sqref="N17:N18">
    <cfRule type="expression" dxfId="1739" priority="225" stopIfTrue="1">
      <formula>IF($S17&lt;9,TRUE,)</formula>
    </cfRule>
  </conditionalFormatting>
  <conditionalFormatting sqref="M17:M18">
    <cfRule type="expression" dxfId="1738" priority="224" stopIfTrue="1">
      <formula>IF($S17&lt;8,TRUE,)</formula>
    </cfRule>
  </conditionalFormatting>
  <conditionalFormatting sqref="L17:L18">
    <cfRule type="expression" dxfId="1737" priority="223" stopIfTrue="1">
      <formula>IF($S17&lt;7,TRUE,)</formula>
    </cfRule>
  </conditionalFormatting>
  <conditionalFormatting sqref="K17:K18">
    <cfRule type="expression" dxfId="1736" priority="222" stopIfTrue="1">
      <formula>IF($S17&lt;6,TRUE,)</formula>
    </cfRule>
  </conditionalFormatting>
  <conditionalFormatting sqref="J17:J18">
    <cfRule type="expression" dxfId="1735" priority="221" stopIfTrue="1">
      <formula>IF($S17&lt;5,TRUE,)</formula>
    </cfRule>
  </conditionalFormatting>
  <conditionalFormatting sqref="I17:I18">
    <cfRule type="expression" dxfId="1734" priority="220" stopIfTrue="1">
      <formula>IF($S17&lt;4,TRUE,)</formula>
    </cfRule>
  </conditionalFormatting>
  <conditionalFormatting sqref="H17:H18">
    <cfRule type="expression" dxfId="1733" priority="219" stopIfTrue="1">
      <formula>IF($S17&lt;3,TRUE,)</formula>
    </cfRule>
  </conditionalFormatting>
  <conditionalFormatting sqref="G17:G18">
    <cfRule type="expression" dxfId="1732" priority="218" stopIfTrue="1">
      <formula>IF($S17&lt;2,TRUE,)</formula>
    </cfRule>
  </conditionalFormatting>
  <conditionalFormatting sqref="F17:F18">
    <cfRule type="expression" dxfId="1731" priority="217" stopIfTrue="1">
      <formula>IF($S17&lt;1,TRUE,)</formula>
    </cfRule>
  </conditionalFormatting>
  <conditionalFormatting sqref="O17:O18">
    <cfRule type="expression" dxfId="1730" priority="216" stopIfTrue="1">
      <formula>IF($S17&lt;10,TRUE,)</formula>
    </cfRule>
  </conditionalFormatting>
  <conditionalFormatting sqref="N24:N25">
    <cfRule type="expression" dxfId="1729" priority="214" stopIfTrue="1">
      <formula>IF($S24&lt;9,TRUE,)</formula>
    </cfRule>
  </conditionalFormatting>
  <conditionalFormatting sqref="M24:M25">
    <cfRule type="expression" dxfId="1728" priority="213" stopIfTrue="1">
      <formula>IF($S24&lt;8,TRUE,)</formula>
    </cfRule>
  </conditionalFormatting>
  <conditionalFormatting sqref="L24:L25">
    <cfRule type="expression" dxfId="1727" priority="212" stopIfTrue="1">
      <formula>IF($S24&lt;7,TRUE,)</formula>
    </cfRule>
  </conditionalFormatting>
  <conditionalFormatting sqref="K24:K25">
    <cfRule type="expression" dxfId="1726" priority="211" stopIfTrue="1">
      <formula>IF($S24&lt;6,TRUE,)</formula>
    </cfRule>
  </conditionalFormatting>
  <conditionalFormatting sqref="J24:J25">
    <cfRule type="expression" dxfId="1725" priority="210" stopIfTrue="1">
      <formula>IF($S24&lt;5,TRUE,)</formula>
    </cfRule>
  </conditionalFormatting>
  <conditionalFormatting sqref="I24:I25">
    <cfRule type="expression" dxfId="1724" priority="209" stopIfTrue="1">
      <formula>IF($S24&lt;4,TRUE,)</formula>
    </cfRule>
  </conditionalFormatting>
  <conditionalFormatting sqref="H24:H25">
    <cfRule type="expression" dxfId="1723" priority="208" stopIfTrue="1">
      <formula>IF($S24&lt;3,TRUE,)</formula>
    </cfRule>
  </conditionalFormatting>
  <conditionalFormatting sqref="G24:G25">
    <cfRule type="expression" dxfId="1722" priority="207" stopIfTrue="1">
      <formula>IF($S24&lt;2,TRUE,)</formula>
    </cfRule>
  </conditionalFormatting>
  <conditionalFormatting sqref="F24:F25">
    <cfRule type="expression" dxfId="1721" priority="206" stopIfTrue="1">
      <formula>IF($S24&lt;1,TRUE,)</formula>
    </cfRule>
  </conditionalFormatting>
  <conditionalFormatting sqref="O24:O25">
    <cfRule type="expression" dxfId="1720" priority="205" stopIfTrue="1">
      <formula>IF($S24&lt;10,TRUE,)</formula>
    </cfRule>
  </conditionalFormatting>
  <conditionalFormatting sqref="N33:N34">
    <cfRule type="expression" dxfId="1719" priority="203" stopIfTrue="1">
      <formula>IF($S33&lt;9,TRUE,)</formula>
    </cfRule>
  </conditionalFormatting>
  <conditionalFormatting sqref="M33:M34">
    <cfRule type="expression" dxfId="1718" priority="202" stopIfTrue="1">
      <formula>IF($S33&lt;8,TRUE,)</formula>
    </cfRule>
  </conditionalFormatting>
  <conditionalFormatting sqref="L33:L34">
    <cfRule type="expression" dxfId="1717" priority="201" stopIfTrue="1">
      <formula>IF($S33&lt;7,TRUE,)</formula>
    </cfRule>
  </conditionalFormatting>
  <conditionalFormatting sqref="K33:K34">
    <cfRule type="expression" dxfId="1716" priority="200" stopIfTrue="1">
      <formula>IF($S33&lt;6,TRUE,)</formula>
    </cfRule>
  </conditionalFormatting>
  <conditionalFormatting sqref="J33:J34">
    <cfRule type="expression" dxfId="1715" priority="199" stopIfTrue="1">
      <formula>IF($S33&lt;5,TRUE,)</formula>
    </cfRule>
  </conditionalFormatting>
  <conditionalFormatting sqref="I33:I34">
    <cfRule type="expression" dxfId="1714" priority="198" stopIfTrue="1">
      <formula>IF($S33&lt;4,TRUE,)</formula>
    </cfRule>
  </conditionalFormatting>
  <conditionalFormatting sqref="H33:H34">
    <cfRule type="expression" dxfId="1713" priority="197" stopIfTrue="1">
      <formula>IF($S33&lt;3,TRUE,)</formula>
    </cfRule>
  </conditionalFormatting>
  <conditionalFormatting sqref="G33:G34">
    <cfRule type="expression" dxfId="1712" priority="196" stopIfTrue="1">
      <formula>IF($S33&lt;2,TRUE,)</formula>
    </cfRule>
  </conditionalFormatting>
  <conditionalFormatting sqref="F33:F34">
    <cfRule type="expression" dxfId="1711" priority="195" stopIfTrue="1">
      <formula>IF($S33&lt;1,TRUE,)</formula>
    </cfRule>
  </conditionalFormatting>
  <conditionalFormatting sqref="O33:O34">
    <cfRule type="expression" dxfId="1710" priority="194" stopIfTrue="1">
      <formula>IF($S33&lt;10,TRUE,)</formula>
    </cfRule>
  </conditionalFormatting>
  <conditionalFormatting sqref="N40:N41">
    <cfRule type="expression" dxfId="1709" priority="192" stopIfTrue="1">
      <formula>IF($S40&lt;9,TRUE,)</formula>
    </cfRule>
  </conditionalFormatting>
  <conditionalFormatting sqref="M40:M41">
    <cfRule type="expression" dxfId="1708" priority="191" stopIfTrue="1">
      <formula>IF($S40&lt;8,TRUE,)</formula>
    </cfRule>
  </conditionalFormatting>
  <conditionalFormatting sqref="L40:L41">
    <cfRule type="expression" dxfId="1707" priority="190" stopIfTrue="1">
      <formula>IF($S40&lt;7,TRUE,)</formula>
    </cfRule>
  </conditionalFormatting>
  <conditionalFormatting sqref="K40:K41">
    <cfRule type="expression" dxfId="1706" priority="189" stopIfTrue="1">
      <formula>IF($S40&lt;6,TRUE,)</formula>
    </cfRule>
  </conditionalFormatting>
  <conditionalFormatting sqref="J40:J41">
    <cfRule type="expression" dxfId="1705" priority="188" stopIfTrue="1">
      <formula>IF($S40&lt;5,TRUE,)</formula>
    </cfRule>
  </conditionalFormatting>
  <conditionalFormatting sqref="I40:I41">
    <cfRule type="expression" dxfId="1704" priority="187" stopIfTrue="1">
      <formula>IF($S40&lt;4,TRUE,)</formula>
    </cfRule>
  </conditionalFormatting>
  <conditionalFormatting sqref="H40:H41">
    <cfRule type="expression" dxfId="1703" priority="186" stopIfTrue="1">
      <formula>IF($S40&lt;3,TRUE,)</formula>
    </cfRule>
  </conditionalFormatting>
  <conditionalFormatting sqref="G40:G41">
    <cfRule type="expression" dxfId="1702" priority="185" stopIfTrue="1">
      <formula>IF($S40&lt;2,TRUE,)</formula>
    </cfRule>
  </conditionalFormatting>
  <conditionalFormatting sqref="F40:F41">
    <cfRule type="expression" dxfId="1701" priority="184" stopIfTrue="1">
      <formula>IF($S40&lt;1,TRUE,)</formula>
    </cfRule>
  </conditionalFormatting>
  <conditionalFormatting sqref="O40:O41">
    <cfRule type="expression" dxfId="1700" priority="183" stopIfTrue="1">
      <formula>IF($S40&lt;10,TRUE,)</formula>
    </cfRule>
  </conditionalFormatting>
  <conditionalFormatting sqref="N58">
    <cfRule type="expression" dxfId="1699" priority="181" stopIfTrue="1">
      <formula>IF($S58&lt;9,TRUE,)</formula>
    </cfRule>
  </conditionalFormatting>
  <conditionalFormatting sqref="M58">
    <cfRule type="expression" dxfId="1698" priority="180" stopIfTrue="1">
      <formula>IF($S58&lt;8,TRUE,)</formula>
    </cfRule>
  </conditionalFormatting>
  <conditionalFormatting sqref="L58">
    <cfRule type="expression" dxfId="1697" priority="179" stopIfTrue="1">
      <formula>IF($S58&lt;7,TRUE,)</formula>
    </cfRule>
  </conditionalFormatting>
  <conditionalFormatting sqref="K58">
    <cfRule type="expression" dxfId="1696" priority="178" stopIfTrue="1">
      <formula>IF($S58&lt;6,TRUE,)</formula>
    </cfRule>
  </conditionalFormatting>
  <conditionalFormatting sqref="J58">
    <cfRule type="expression" dxfId="1695" priority="177" stopIfTrue="1">
      <formula>IF($S58&lt;5,TRUE,)</formula>
    </cfRule>
  </conditionalFormatting>
  <conditionalFormatting sqref="I58">
    <cfRule type="expression" dxfId="1694" priority="176" stopIfTrue="1">
      <formula>IF($S58&lt;4,TRUE,)</formula>
    </cfRule>
  </conditionalFormatting>
  <conditionalFormatting sqref="H58">
    <cfRule type="expression" dxfId="1693" priority="175" stopIfTrue="1">
      <formula>IF($S58&lt;3,TRUE,)</formula>
    </cfRule>
  </conditionalFormatting>
  <conditionalFormatting sqref="G58">
    <cfRule type="expression" dxfId="1692" priority="174" stopIfTrue="1">
      <formula>IF($S58&lt;2,TRUE,)</formula>
    </cfRule>
  </conditionalFormatting>
  <conditionalFormatting sqref="F58">
    <cfRule type="expression" dxfId="1691" priority="173" stopIfTrue="1">
      <formula>IF($S58&lt;1,TRUE,)</formula>
    </cfRule>
  </conditionalFormatting>
  <conditionalFormatting sqref="O58">
    <cfRule type="expression" dxfId="1690" priority="172" stopIfTrue="1">
      <formula>IF($S58&lt;10,TRUE,)</formula>
    </cfRule>
  </conditionalFormatting>
  <conditionalFormatting sqref="N47:N48">
    <cfRule type="expression" dxfId="1689" priority="170" stopIfTrue="1">
      <formula>IF($S47&lt;9,TRUE,)</formula>
    </cfRule>
  </conditionalFormatting>
  <conditionalFormatting sqref="M47:M48">
    <cfRule type="expression" dxfId="1688" priority="169" stopIfTrue="1">
      <formula>IF($S47&lt;8,TRUE,)</formula>
    </cfRule>
  </conditionalFormatting>
  <conditionalFormatting sqref="L47:L48">
    <cfRule type="expression" dxfId="1687" priority="168" stopIfTrue="1">
      <formula>IF($S47&lt;7,TRUE,)</formula>
    </cfRule>
  </conditionalFormatting>
  <conditionalFormatting sqref="K47:K48">
    <cfRule type="expression" dxfId="1686" priority="167" stopIfTrue="1">
      <formula>IF($S47&lt;6,TRUE,)</formula>
    </cfRule>
  </conditionalFormatting>
  <conditionalFormatting sqref="J47:J48">
    <cfRule type="expression" dxfId="1685" priority="166" stopIfTrue="1">
      <formula>IF($S47&lt;5,TRUE,)</formula>
    </cfRule>
  </conditionalFormatting>
  <conditionalFormatting sqref="I47:I48">
    <cfRule type="expression" dxfId="1684" priority="165" stopIfTrue="1">
      <formula>IF($S47&lt;4,TRUE,)</formula>
    </cfRule>
  </conditionalFormatting>
  <conditionalFormatting sqref="H47:H48">
    <cfRule type="expression" dxfId="1683" priority="164" stopIfTrue="1">
      <formula>IF($S47&lt;3,TRUE,)</formula>
    </cfRule>
  </conditionalFormatting>
  <conditionalFormatting sqref="G47:G48">
    <cfRule type="expression" dxfId="1682" priority="163" stopIfTrue="1">
      <formula>IF($S47&lt;2,TRUE,)</formula>
    </cfRule>
  </conditionalFormatting>
  <conditionalFormatting sqref="F47:F48">
    <cfRule type="expression" dxfId="1681" priority="162" stopIfTrue="1">
      <formula>IF($S47&lt;1,TRUE,)</formula>
    </cfRule>
  </conditionalFormatting>
  <conditionalFormatting sqref="O47:O48">
    <cfRule type="expression" dxfId="1680" priority="161" stopIfTrue="1">
      <formula>IF($S47&lt;10,TRUE,)</formula>
    </cfRule>
  </conditionalFormatting>
  <conditionalFormatting sqref="N54:N55">
    <cfRule type="expression" dxfId="1679" priority="159" stopIfTrue="1">
      <formula>IF($S54&lt;9,TRUE,)</formula>
    </cfRule>
  </conditionalFormatting>
  <conditionalFormatting sqref="M54:M55">
    <cfRule type="expression" dxfId="1678" priority="158" stopIfTrue="1">
      <formula>IF($S54&lt;8,TRUE,)</formula>
    </cfRule>
  </conditionalFormatting>
  <conditionalFormatting sqref="L54:L55">
    <cfRule type="expression" dxfId="1677" priority="157" stopIfTrue="1">
      <formula>IF($S54&lt;7,TRUE,)</formula>
    </cfRule>
  </conditionalFormatting>
  <conditionalFormatting sqref="K54:K55">
    <cfRule type="expression" dxfId="1676" priority="156" stopIfTrue="1">
      <formula>IF($S54&lt;6,TRUE,)</formula>
    </cfRule>
  </conditionalFormatting>
  <conditionalFormatting sqref="J54:J55">
    <cfRule type="expression" dxfId="1675" priority="155" stopIfTrue="1">
      <formula>IF($S54&lt;5,TRUE,)</formula>
    </cfRule>
  </conditionalFormatting>
  <conditionalFormatting sqref="I54:I55">
    <cfRule type="expression" dxfId="1674" priority="154" stopIfTrue="1">
      <formula>IF($S54&lt;4,TRUE,)</formula>
    </cfRule>
  </conditionalFormatting>
  <conditionalFormatting sqref="H54:H55">
    <cfRule type="expression" dxfId="1673" priority="153" stopIfTrue="1">
      <formula>IF($S54&lt;3,TRUE,)</formula>
    </cfRule>
  </conditionalFormatting>
  <conditionalFormatting sqref="G54:G55">
    <cfRule type="expression" dxfId="1672" priority="152" stopIfTrue="1">
      <formula>IF($S54&lt;2,TRUE,)</formula>
    </cfRule>
  </conditionalFormatting>
  <conditionalFormatting sqref="F54:F55">
    <cfRule type="expression" dxfId="1671" priority="151" stopIfTrue="1">
      <formula>IF($S54&lt;1,TRUE,)</formula>
    </cfRule>
  </conditionalFormatting>
  <conditionalFormatting sqref="O54:O55">
    <cfRule type="expression" dxfId="1670" priority="150" stopIfTrue="1">
      <formula>IF($S54&lt;10,TRUE,)</formula>
    </cfRule>
  </conditionalFormatting>
  <conditionalFormatting sqref="N49:N50">
    <cfRule type="expression" dxfId="1669" priority="148" stopIfTrue="1">
      <formula>IF($S49&lt;9,TRUE,)</formula>
    </cfRule>
  </conditionalFormatting>
  <conditionalFormatting sqref="M49:M50">
    <cfRule type="expression" dxfId="1668" priority="147" stopIfTrue="1">
      <formula>IF($S49&lt;8,TRUE,)</formula>
    </cfRule>
  </conditionalFormatting>
  <conditionalFormatting sqref="L49:L50">
    <cfRule type="expression" dxfId="1667" priority="146" stopIfTrue="1">
      <formula>IF($S49&lt;7,TRUE,)</formula>
    </cfRule>
  </conditionalFormatting>
  <conditionalFormatting sqref="K49:K50">
    <cfRule type="expression" dxfId="1666" priority="145" stopIfTrue="1">
      <formula>IF($S49&lt;6,TRUE,)</formula>
    </cfRule>
  </conditionalFormatting>
  <conditionalFormatting sqref="J49:J50">
    <cfRule type="expression" dxfId="1665" priority="144" stopIfTrue="1">
      <formula>IF($S49&lt;5,TRUE,)</formula>
    </cfRule>
  </conditionalFormatting>
  <conditionalFormatting sqref="I49:I50">
    <cfRule type="expression" dxfId="1664" priority="143" stopIfTrue="1">
      <formula>IF($S49&lt;4,TRUE,)</formula>
    </cfRule>
  </conditionalFormatting>
  <conditionalFormatting sqref="H49:H50">
    <cfRule type="expression" dxfId="1663" priority="142" stopIfTrue="1">
      <formula>IF($S49&lt;3,TRUE,)</formula>
    </cfRule>
  </conditionalFormatting>
  <conditionalFormatting sqref="G49:G50">
    <cfRule type="expression" dxfId="1662" priority="141" stopIfTrue="1">
      <formula>IF($S49&lt;2,TRUE,)</formula>
    </cfRule>
  </conditionalFormatting>
  <conditionalFormatting sqref="F49:F50">
    <cfRule type="expression" dxfId="1661" priority="140" stopIfTrue="1">
      <formula>IF($S49&lt;1,TRUE,)</formula>
    </cfRule>
  </conditionalFormatting>
  <conditionalFormatting sqref="O49:O50">
    <cfRule type="expression" dxfId="1660" priority="139" stopIfTrue="1">
      <formula>IF($S49&lt;10,TRUE,)</formula>
    </cfRule>
  </conditionalFormatting>
  <conditionalFormatting sqref="N56:N57">
    <cfRule type="expression" dxfId="1659" priority="137" stopIfTrue="1">
      <formula>IF($S56&lt;9,TRUE,)</formula>
    </cfRule>
  </conditionalFormatting>
  <conditionalFormatting sqref="M56:M57">
    <cfRule type="expression" dxfId="1658" priority="136" stopIfTrue="1">
      <formula>IF($S56&lt;8,TRUE,)</formula>
    </cfRule>
  </conditionalFormatting>
  <conditionalFormatting sqref="L56:L57">
    <cfRule type="expression" dxfId="1657" priority="135" stopIfTrue="1">
      <formula>IF($S56&lt;7,TRUE,)</formula>
    </cfRule>
  </conditionalFormatting>
  <conditionalFormatting sqref="K56:K57">
    <cfRule type="expression" dxfId="1656" priority="134" stopIfTrue="1">
      <formula>IF($S56&lt;6,TRUE,)</formula>
    </cfRule>
  </conditionalFormatting>
  <conditionalFormatting sqref="J56:J57">
    <cfRule type="expression" dxfId="1655" priority="133" stopIfTrue="1">
      <formula>IF($S56&lt;5,TRUE,)</formula>
    </cfRule>
  </conditionalFormatting>
  <conditionalFormatting sqref="I56:I57">
    <cfRule type="expression" dxfId="1654" priority="132" stopIfTrue="1">
      <formula>IF($S56&lt;4,TRUE,)</formula>
    </cfRule>
  </conditionalFormatting>
  <conditionalFormatting sqref="H56:H57">
    <cfRule type="expression" dxfId="1653" priority="131" stopIfTrue="1">
      <formula>IF($S56&lt;3,TRUE,)</formula>
    </cfRule>
  </conditionalFormatting>
  <conditionalFormatting sqref="G56:G57">
    <cfRule type="expression" dxfId="1652" priority="130" stopIfTrue="1">
      <formula>IF($S56&lt;2,TRUE,)</formula>
    </cfRule>
  </conditionalFormatting>
  <conditionalFormatting sqref="F56:F57">
    <cfRule type="expression" dxfId="1651" priority="129" stopIfTrue="1">
      <formula>IF($S56&lt;1,TRUE,)</formula>
    </cfRule>
  </conditionalFormatting>
  <conditionalFormatting sqref="O56:O57">
    <cfRule type="expression" dxfId="1650" priority="128" stopIfTrue="1">
      <formula>IF($S56&lt;10,TRUE,)</formula>
    </cfRule>
  </conditionalFormatting>
  <conditionalFormatting sqref="N59">
    <cfRule type="expression" dxfId="1649" priority="126" stopIfTrue="1">
      <formula>IF($S59&lt;9,TRUE,)</formula>
    </cfRule>
  </conditionalFormatting>
  <conditionalFormatting sqref="M59">
    <cfRule type="expression" dxfId="1648" priority="125" stopIfTrue="1">
      <formula>IF($S59&lt;8,TRUE,)</formula>
    </cfRule>
  </conditionalFormatting>
  <conditionalFormatting sqref="L59">
    <cfRule type="expression" dxfId="1647" priority="124" stopIfTrue="1">
      <formula>IF($S59&lt;7,TRUE,)</formula>
    </cfRule>
  </conditionalFormatting>
  <conditionalFormatting sqref="K59">
    <cfRule type="expression" dxfId="1646" priority="123" stopIfTrue="1">
      <formula>IF($S59&lt;6,TRUE,)</formula>
    </cfRule>
  </conditionalFormatting>
  <conditionalFormatting sqref="J59">
    <cfRule type="expression" dxfId="1645" priority="122" stopIfTrue="1">
      <formula>IF($S59&lt;5,TRUE,)</formula>
    </cfRule>
  </conditionalFormatting>
  <conditionalFormatting sqref="I59">
    <cfRule type="expression" dxfId="1644" priority="121" stopIfTrue="1">
      <formula>IF($S59&lt;4,TRUE,)</formula>
    </cfRule>
  </conditionalFormatting>
  <conditionalFormatting sqref="H59">
    <cfRule type="expression" dxfId="1643" priority="120" stopIfTrue="1">
      <formula>IF($S59&lt;3,TRUE,)</formula>
    </cfRule>
  </conditionalFormatting>
  <conditionalFormatting sqref="G59">
    <cfRule type="expression" dxfId="1642" priority="119" stopIfTrue="1">
      <formula>IF($S59&lt;2,TRUE,)</formula>
    </cfRule>
  </conditionalFormatting>
  <conditionalFormatting sqref="F59">
    <cfRule type="expression" dxfId="1641" priority="118" stopIfTrue="1">
      <formula>IF($S59&lt;1,TRUE,)</formula>
    </cfRule>
  </conditionalFormatting>
  <conditionalFormatting sqref="O59">
    <cfRule type="expression" dxfId="1640" priority="117" stopIfTrue="1">
      <formula>IF($S59&lt;10,TRUE,)</formula>
    </cfRule>
  </conditionalFormatting>
  <conditionalFormatting sqref="N63:N64">
    <cfRule type="expression" dxfId="1639" priority="104" stopIfTrue="1">
      <formula>IF($S63&lt;9,TRUE,)</formula>
    </cfRule>
  </conditionalFormatting>
  <conditionalFormatting sqref="M63:M64">
    <cfRule type="expression" dxfId="1638" priority="103" stopIfTrue="1">
      <formula>IF($S63&lt;8,TRUE,)</formula>
    </cfRule>
  </conditionalFormatting>
  <conditionalFormatting sqref="L63:L64">
    <cfRule type="expression" dxfId="1637" priority="102" stopIfTrue="1">
      <formula>IF($S63&lt;7,TRUE,)</formula>
    </cfRule>
  </conditionalFormatting>
  <conditionalFormatting sqref="K63:K64">
    <cfRule type="expression" dxfId="1636" priority="101" stopIfTrue="1">
      <formula>IF($S63&lt;6,TRUE,)</formula>
    </cfRule>
  </conditionalFormatting>
  <conditionalFormatting sqref="J63:J64">
    <cfRule type="expression" dxfId="1635" priority="100" stopIfTrue="1">
      <formula>IF($S63&lt;5,TRUE,)</formula>
    </cfRule>
  </conditionalFormatting>
  <conditionalFormatting sqref="I63:I64">
    <cfRule type="expression" dxfId="1634" priority="99" stopIfTrue="1">
      <formula>IF($S63&lt;4,TRUE,)</formula>
    </cfRule>
  </conditionalFormatting>
  <conditionalFormatting sqref="H63:H64">
    <cfRule type="expression" dxfId="1633" priority="98" stopIfTrue="1">
      <formula>IF($S63&lt;3,TRUE,)</formula>
    </cfRule>
  </conditionalFormatting>
  <conditionalFormatting sqref="G63:G64">
    <cfRule type="expression" dxfId="1632" priority="97" stopIfTrue="1">
      <formula>IF($S63&lt;2,TRUE,)</formula>
    </cfRule>
  </conditionalFormatting>
  <conditionalFormatting sqref="F63:F64">
    <cfRule type="expression" dxfId="1631" priority="96" stopIfTrue="1">
      <formula>IF($S63&lt;1,TRUE,)</formula>
    </cfRule>
  </conditionalFormatting>
  <conditionalFormatting sqref="O63:O64">
    <cfRule type="expression" dxfId="1630" priority="95" stopIfTrue="1">
      <formula>IF($S63&lt;10,TRUE,)</formula>
    </cfRule>
  </conditionalFormatting>
  <conditionalFormatting sqref="N70:N71">
    <cfRule type="expression" dxfId="1629" priority="93" stopIfTrue="1">
      <formula>IF($S70&lt;9,TRUE,)</formula>
    </cfRule>
  </conditionalFormatting>
  <conditionalFormatting sqref="M70:M71">
    <cfRule type="expression" dxfId="1628" priority="92" stopIfTrue="1">
      <formula>IF($S70&lt;8,TRUE,)</formula>
    </cfRule>
  </conditionalFormatting>
  <conditionalFormatting sqref="L70:L71">
    <cfRule type="expression" dxfId="1627" priority="91" stopIfTrue="1">
      <formula>IF($S70&lt;7,TRUE,)</formula>
    </cfRule>
  </conditionalFormatting>
  <conditionalFormatting sqref="K70:K71">
    <cfRule type="expression" dxfId="1626" priority="90" stopIfTrue="1">
      <formula>IF($S70&lt;6,TRUE,)</formula>
    </cfRule>
  </conditionalFormatting>
  <conditionalFormatting sqref="J70:J71">
    <cfRule type="expression" dxfId="1625" priority="89" stopIfTrue="1">
      <formula>IF($S70&lt;5,TRUE,)</formula>
    </cfRule>
  </conditionalFormatting>
  <conditionalFormatting sqref="I70:I71">
    <cfRule type="expression" dxfId="1624" priority="88" stopIfTrue="1">
      <formula>IF($S70&lt;4,TRUE,)</formula>
    </cfRule>
  </conditionalFormatting>
  <conditionalFormatting sqref="H70:H71">
    <cfRule type="expression" dxfId="1623" priority="87" stopIfTrue="1">
      <formula>IF($S70&lt;3,TRUE,)</formula>
    </cfRule>
  </conditionalFormatting>
  <conditionalFormatting sqref="G70:G71">
    <cfRule type="expression" dxfId="1622" priority="86" stopIfTrue="1">
      <formula>IF($S70&lt;2,TRUE,)</formula>
    </cfRule>
  </conditionalFormatting>
  <conditionalFormatting sqref="F70:F71">
    <cfRule type="expression" dxfId="1621" priority="85" stopIfTrue="1">
      <formula>IF($S70&lt;1,TRUE,)</formula>
    </cfRule>
  </conditionalFormatting>
  <conditionalFormatting sqref="O70:O71">
    <cfRule type="expression" dxfId="1620" priority="84" stopIfTrue="1">
      <formula>IF($S70&lt;10,TRUE,)</formula>
    </cfRule>
  </conditionalFormatting>
  <conditionalFormatting sqref="N65:N66">
    <cfRule type="expression" dxfId="1619" priority="82" stopIfTrue="1">
      <formula>IF($S65&lt;9,TRUE,)</formula>
    </cfRule>
  </conditionalFormatting>
  <conditionalFormatting sqref="M65:M66">
    <cfRule type="expression" dxfId="1618" priority="81" stopIfTrue="1">
      <formula>IF($S65&lt;8,TRUE,)</formula>
    </cfRule>
  </conditionalFormatting>
  <conditionalFormatting sqref="L65:L66">
    <cfRule type="expression" dxfId="1617" priority="80" stopIfTrue="1">
      <formula>IF($S65&lt;7,TRUE,)</formula>
    </cfRule>
  </conditionalFormatting>
  <conditionalFormatting sqref="K65:K66">
    <cfRule type="expression" dxfId="1616" priority="79" stopIfTrue="1">
      <formula>IF($S65&lt;6,TRUE,)</formula>
    </cfRule>
  </conditionalFormatting>
  <conditionalFormatting sqref="J65:J66">
    <cfRule type="expression" dxfId="1615" priority="78" stopIfTrue="1">
      <formula>IF($S65&lt;5,TRUE,)</formula>
    </cfRule>
  </conditionalFormatting>
  <conditionalFormatting sqref="I65:I66">
    <cfRule type="expression" dxfId="1614" priority="77" stopIfTrue="1">
      <formula>IF($S65&lt;4,TRUE,)</formula>
    </cfRule>
  </conditionalFormatting>
  <conditionalFormatting sqref="H65:H66">
    <cfRule type="expression" dxfId="1613" priority="76" stopIfTrue="1">
      <formula>IF($S65&lt;3,TRUE,)</formula>
    </cfRule>
  </conditionalFormatting>
  <conditionalFormatting sqref="G65:G66">
    <cfRule type="expression" dxfId="1612" priority="75" stopIfTrue="1">
      <formula>IF($S65&lt;2,TRUE,)</formula>
    </cfRule>
  </conditionalFormatting>
  <conditionalFormatting sqref="F65:F66">
    <cfRule type="expression" dxfId="1611" priority="74" stopIfTrue="1">
      <formula>IF($S65&lt;1,TRUE,)</formula>
    </cfRule>
  </conditionalFormatting>
  <conditionalFormatting sqref="O65:O66">
    <cfRule type="expression" dxfId="1610" priority="73" stopIfTrue="1">
      <formula>IF($S65&lt;10,TRUE,)</formula>
    </cfRule>
  </conditionalFormatting>
  <conditionalFormatting sqref="N72:N74">
    <cfRule type="expression" dxfId="1609" priority="71" stopIfTrue="1">
      <formula>IF($S72&lt;9,TRUE,)</formula>
    </cfRule>
  </conditionalFormatting>
  <conditionalFormatting sqref="M72:M74">
    <cfRule type="expression" dxfId="1608" priority="70" stopIfTrue="1">
      <formula>IF($S72&lt;8,TRUE,)</formula>
    </cfRule>
  </conditionalFormatting>
  <conditionalFormatting sqref="L72:L74">
    <cfRule type="expression" dxfId="1607" priority="69" stopIfTrue="1">
      <formula>IF($S72&lt;7,TRUE,)</formula>
    </cfRule>
  </conditionalFormatting>
  <conditionalFormatting sqref="K72:K74">
    <cfRule type="expression" dxfId="1606" priority="68" stopIfTrue="1">
      <formula>IF($S72&lt;6,TRUE,)</formula>
    </cfRule>
  </conditionalFormatting>
  <conditionalFormatting sqref="J72:J74">
    <cfRule type="expression" dxfId="1605" priority="67" stopIfTrue="1">
      <formula>IF($S72&lt;5,TRUE,)</formula>
    </cfRule>
  </conditionalFormatting>
  <conditionalFormatting sqref="I72:I74">
    <cfRule type="expression" dxfId="1604" priority="66" stopIfTrue="1">
      <formula>IF($S72&lt;4,TRUE,)</formula>
    </cfRule>
  </conditionalFormatting>
  <conditionalFormatting sqref="H72:H74">
    <cfRule type="expression" dxfId="1603" priority="65" stopIfTrue="1">
      <formula>IF($S72&lt;3,TRUE,)</formula>
    </cfRule>
  </conditionalFormatting>
  <conditionalFormatting sqref="G72:G74">
    <cfRule type="expression" dxfId="1602" priority="64" stopIfTrue="1">
      <formula>IF($S72&lt;2,TRUE,)</formula>
    </cfRule>
  </conditionalFormatting>
  <conditionalFormatting sqref="F72:F74">
    <cfRule type="expression" dxfId="1601" priority="63" stopIfTrue="1">
      <formula>IF($S72&lt;1,TRUE,)</formula>
    </cfRule>
  </conditionalFormatting>
  <conditionalFormatting sqref="O72:O74">
    <cfRule type="expression" dxfId="1600" priority="62" stopIfTrue="1">
      <formula>IF($S72&lt;10,TRUE,)</formula>
    </cfRule>
  </conditionalFormatting>
  <conditionalFormatting sqref="N58">
    <cfRule type="expression" dxfId="1599" priority="61" stopIfTrue="1">
      <formula>IF($S58&lt;9,TRUE,)</formula>
    </cfRule>
  </conditionalFormatting>
  <conditionalFormatting sqref="M58">
    <cfRule type="expression" dxfId="1598" priority="60" stopIfTrue="1">
      <formula>IF($S58&lt;8,TRUE,)</formula>
    </cfRule>
  </conditionalFormatting>
  <conditionalFormatting sqref="L58">
    <cfRule type="expression" dxfId="1597" priority="59" stopIfTrue="1">
      <formula>IF($S58&lt;7,TRUE,)</formula>
    </cfRule>
  </conditionalFormatting>
  <conditionalFormatting sqref="K58">
    <cfRule type="expression" dxfId="1596" priority="58" stopIfTrue="1">
      <formula>IF($S58&lt;6,TRUE,)</formula>
    </cfRule>
  </conditionalFormatting>
  <conditionalFormatting sqref="J58">
    <cfRule type="expression" dxfId="1595" priority="57" stopIfTrue="1">
      <formula>IF($S58&lt;5,TRUE,)</formula>
    </cfRule>
  </conditionalFormatting>
  <conditionalFormatting sqref="I58">
    <cfRule type="expression" dxfId="1594" priority="56" stopIfTrue="1">
      <formula>IF($S58&lt;4,TRUE,)</formula>
    </cfRule>
  </conditionalFormatting>
  <conditionalFormatting sqref="H58">
    <cfRule type="expression" dxfId="1593" priority="55" stopIfTrue="1">
      <formula>IF($S58&lt;3,TRUE,)</formula>
    </cfRule>
  </conditionalFormatting>
  <conditionalFormatting sqref="G58">
    <cfRule type="expression" dxfId="1592" priority="54" stopIfTrue="1">
      <formula>IF($S58&lt;2,TRUE,)</formula>
    </cfRule>
  </conditionalFormatting>
  <conditionalFormatting sqref="F58">
    <cfRule type="expression" dxfId="1591" priority="53" stopIfTrue="1">
      <formula>IF($S58&lt;1,TRUE,)</formula>
    </cfRule>
  </conditionalFormatting>
  <conditionalFormatting sqref="O58">
    <cfRule type="expression" dxfId="1590" priority="52" stopIfTrue="1">
      <formula>IF($S58&lt;10,TRUE,)</formula>
    </cfRule>
  </conditionalFormatting>
  <conditionalFormatting sqref="N47:N48">
    <cfRule type="expression" dxfId="1589" priority="51" stopIfTrue="1">
      <formula>IF($S47&lt;9,TRUE,)</formula>
    </cfRule>
  </conditionalFormatting>
  <conditionalFormatting sqref="M47:M48">
    <cfRule type="expression" dxfId="1588" priority="50" stopIfTrue="1">
      <formula>IF($S47&lt;8,TRUE,)</formula>
    </cfRule>
  </conditionalFormatting>
  <conditionalFormatting sqref="L47:L48">
    <cfRule type="expression" dxfId="1587" priority="49" stopIfTrue="1">
      <formula>IF($S47&lt;7,TRUE,)</formula>
    </cfRule>
  </conditionalFormatting>
  <conditionalFormatting sqref="K47:K48">
    <cfRule type="expression" dxfId="1586" priority="48" stopIfTrue="1">
      <formula>IF($S47&lt;6,TRUE,)</formula>
    </cfRule>
  </conditionalFormatting>
  <conditionalFormatting sqref="J47:J48">
    <cfRule type="expression" dxfId="1585" priority="47" stopIfTrue="1">
      <formula>IF($S47&lt;5,TRUE,)</formula>
    </cfRule>
  </conditionalFormatting>
  <conditionalFormatting sqref="I47:I48">
    <cfRule type="expression" dxfId="1584" priority="46" stopIfTrue="1">
      <formula>IF($S47&lt;4,TRUE,)</formula>
    </cfRule>
  </conditionalFormatting>
  <conditionalFormatting sqref="H47:H48">
    <cfRule type="expression" dxfId="1583" priority="45" stopIfTrue="1">
      <formula>IF($S47&lt;3,TRUE,)</formula>
    </cfRule>
  </conditionalFormatting>
  <conditionalFormatting sqref="G47:G48">
    <cfRule type="expression" dxfId="1582" priority="44" stopIfTrue="1">
      <formula>IF($S47&lt;2,TRUE,)</formula>
    </cfRule>
  </conditionalFormatting>
  <conditionalFormatting sqref="F47:F48">
    <cfRule type="expression" dxfId="1581" priority="43" stopIfTrue="1">
      <formula>IF($S47&lt;1,TRUE,)</formula>
    </cfRule>
  </conditionalFormatting>
  <conditionalFormatting sqref="O47:O48">
    <cfRule type="expression" dxfId="1580" priority="42" stopIfTrue="1">
      <formula>IF($S47&lt;10,TRUE,)</formula>
    </cfRule>
  </conditionalFormatting>
  <conditionalFormatting sqref="N54:N55">
    <cfRule type="expression" dxfId="1579" priority="41" stopIfTrue="1">
      <formula>IF($S54&lt;9,TRUE,)</formula>
    </cfRule>
  </conditionalFormatting>
  <conditionalFormatting sqref="M54:M55">
    <cfRule type="expression" dxfId="1578" priority="40" stopIfTrue="1">
      <formula>IF($S54&lt;8,TRUE,)</formula>
    </cfRule>
  </conditionalFormatting>
  <conditionalFormatting sqref="L54:L55">
    <cfRule type="expression" dxfId="1577" priority="39" stopIfTrue="1">
      <formula>IF($S54&lt;7,TRUE,)</formula>
    </cfRule>
  </conditionalFormatting>
  <conditionalFormatting sqref="K54:K55">
    <cfRule type="expression" dxfId="1576" priority="38" stopIfTrue="1">
      <formula>IF($S54&lt;6,TRUE,)</formula>
    </cfRule>
  </conditionalFormatting>
  <conditionalFormatting sqref="J54:J55">
    <cfRule type="expression" dxfId="1575" priority="37" stopIfTrue="1">
      <formula>IF($S54&lt;5,TRUE,)</formula>
    </cfRule>
  </conditionalFormatting>
  <conditionalFormatting sqref="I54:I55">
    <cfRule type="expression" dxfId="1574" priority="36" stopIfTrue="1">
      <formula>IF($S54&lt;4,TRUE,)</formula>
    </cfRule>
  </conditionalFormatting>
  <conditionalFormatting sqref="H54:H55">
    <cfRule type="expression" dxfId="1573" priority="35" stopIfTrue="1">
      <formula>IF($S54&lt;3,TRUE,)</formula>
    </cfRule>
  </conditionalFormatting>
  <conditionalFormatting sqref="G54:G55">
    <cfRule type="expression" dxfId="1572" priority="34" stopIfTrue="1">
      <formula>IF($S54&lt;2,TRUE,)</formula>
    </cfRule>
  </conditionalFormatting>
  <conditionalFormatting sqref="F54:F55">
    <cfRule type="expression" dxfId="1571" priority="33" stopIfTrue="1">
      <formula>IF($S54&lt;1,TRUE,)</formula>
    </cfRule>
  </conditionalFormatting>
  <conditionalFormatting sqref="O54:O55">
    <cfRule type="expression" dxfId="1570" priority="32" stopIfTrue="1">
      <formula>IF($S54&lt;10,TRUE,)</formula>
    </cfRule>
  </conditionalFormatting>
  <conditionalFormatting sqref="N49:N50">
    <cfRule type="expression" dxfId="1569" priority="31" stopIfTrue="1">
      <formula>IF($S49&lt;9,TRUE,)</formula>
    </cfRule>
  </conditionalFormatting>
  <conditionalFormatting sqref="M49:M50">
    <cfRule type="expression" dxfId="1568" priority="30" stopIfTrue="1">
      <formula>IF($S49&lt;8,TRUE,)</formula>
    </cfRule>
  </conditionalFormatting>
  <conditionalFormatting sqref="L49:L50">
    <cfRule type="expression" dxfId="1567" priority="29" stopIfTrue="1">
      <formula>IF($S49&lt;7,TRUE,)</formula>
    </cfRule>
  </conditionalFormatting>
  <conditionalFormatting sqref="K49:K50">
    <cfRule type="expression" dxfId="1566" priority="28" stopIfTrue="1">
      <formula>IF($S49&lt;6,TRUE,)</formula>
    </cfRule>
  </conditionalFormatting>
  <conditionalFormatting sqref="J49:J50">
    <cfRule type="expression" dxfId="1565" priority="27" stopIfTrue="1">
      <formula>IF($S49&lt;5,TRUE,)</formula>
    </cfRule>
  </conditionalFormatting>
  <conditionalFormatting sqref="I49:I50">
    <cfRule type="expression" dxfId="1564" priority="26" stopIfTrue="1">
      <formula>IF($S49&lt;4,TRUE,)</formula>
    </cfRule>
  </conditionalFormatting>
  <conditionalFormatting sqref="H49:H50">
    <cfRule type="expression" dxfId="1563" priority="25" stopIfTrue="1">
      <formula>IF($S49&lt;3,TRUE,)</formula>
    </cfRule>
  </conditionalFormatting>
  <conditionalFormatting sqref="G49:G50">
    <cfRule type="expression" dxfId="1562" priority="24" stopIfTrue="1">
      <formula>IF($S49&lt;2,TRUE,)</formula>
    </cfRule>
  </conditionalFormatting>
  <conditionalFormatting sqref="F49:F50">
    <cfRule type="expression" dxfId="1561" priority="23" stopIfTrue="1">
      <formula>IF($S49&lt;1,TRUE,)</formula>
    </cfRule>
  </conditionalFormatting>
  <conditionalFormatting sqref="O49:O50">
    <cfRule type="expression" dxfId="1560" priority="22" stopIfTrue="1">
      <formula>IF($S49&lt;10,TRUE,)</formula>
    </cfRule>
  </conditionalFormatting>
  <conditionalFormatting sqref="N56:N57">
    <cfRule type="expression" dxfId="1559" priority="21" stopIfTrue="1">
      <formula>IF($S56&lt;9,TRUE,)</formula>
    </cfRule>
  </conditionalFormatting>
  <conditionalFormatting sqref="M56:M57">
    <cfRule type="expression" dxfId="1558" priority="20" stopIfTrue="1">
      <formula>IF($S56&lt;8,TRUE,)</formula>
    </cfRule>
  </conditionalFormatting>
  <conditionalFormatting sqref="L56:L57">
    <cfRule type="expression" dxfId="1557" priority="19" stopIfTrue="1">
      <formula>IF($S56&lt;7,TRUE,)</formula>
    </cfRule>
  </conditionalFormatting>
  <conditionalFormatting sqref="K56:K57">
    <cfRule type="expression" dxfId="1556" priority="18" stopIfTrue="1">
      <formula>IF($S56&lt;6,TRUE,)</formula>
    </cfRule>
  </conditionalFormatting>
  <conditionalFormatting sqref="J56:J57">
    <cfRule type="expression" dxfId="1555" priority="17" stopIfTrue="1">
      <formula>IF($S56&lt;5,TRUE,)</formula>
    </cfRule>
  </conditionalFormatting>
  <conditionalFormatting sqref="I56:I57">
    <cfRule type="expression" dxfId="1554" priority="16" stopIfTrue="1">
      <formula>IF($S56&lt;4,TRUE,)</formula>
    </cfRule>
  </conditionalFormatting>
  <conditionalFormatting sqref="H56:H57">
    <cfRule type="expression" dxfId="1553" priority="15" stopIfTrue="1">
      <formula>IF($S56&lt;3,TRUE,)</formula>
    </cfRule>
  </conditionalFormatting>
  <conditionalFormatting sqref="G56:G57">
    <cfRule type="expression" dxfId="1552" priority="14" stopIfTrue="1">
      <formula>IF($S56&lt;2,TRUE,)</formula>
    </cfRule>
  </conditionalFormatting>
  <conditionalFormatting sqref="F56:F57">
    <cfRule type="expression" dxfId="1551" priority="13" stopIfTrue="1">
      <formula>IF($S56&lt;1,TRUE,)</formula>
    </cfRule>
  </conditionalFormatting>
  <conditionalFormatting sqref="O56:O57">
    <cfRule type="expression" dxfId="1550" priority="12" stopIfTrue="1">
      <formula>IF($S56&lt;10,TRUE,)</formula>
    </cfRule>
  </conditionalFormatting>
  <conditionalFormatting sqref="F74:O74">
    <cfRule type="colorScale" priority="11">
      <colorScale>
        <cfvo type="num" val="0"/>
        <cfvo type="num" val="5"/>
        <cfvo type="num" val="10"/>
        <color rgb="FF00B050"/>
        <color rgb="FFFFFF00"/>
        <color rgb="FFFF0000"/>
      </colorScale>
    </cfRule>
  </conditionalFormatting>
  <conditionalFormatting sqref="N74">
    <cfRule type="expression" dxfId="1549" priority="10" stopIfTrue="1">
      <formula>IF($S74&lt;9,TRUE,)</formula>
    </cfRule>
  </conditionalFormatting>
  <conditionalFormatting sqref="M74">
    <cfRule type="expression" dxfId="1548" priority="9" stopIfTrue="1">
      <formula>IF($S74&lt;8,TRUE,)</formula>
    </cfRule>
  </conditionalFormatting>
  <conditionalFormatting sqref="L74">
    <cfRule type="expression" dxfId="1547" priority="8" stopIfTrue="1">
      <formula>IF($S74&lt;7,TRUE,)</formula>
    </cfRule>
  </conditionalFormatting>
  <conditionalFormatting sqref="K74">
    <cfRule type="expression" dxfId="1546" priority="7" stopIfTrue="1">
      <formula>IF($S74&lt;6,TRUE,)</formula>
    </cfRule>
  </conditionalFormatting>
  <conditionalFormatting sqref="J74">
    <cfRule type="expression" dxfId="1545" priority="6" stopIfTrue="1">
      <formula>IF($S74&lt;5,TRUE,)</formula>
    </cfRule>
  </conditionalFormatting>
  <conditionalFormatting sqref="I74">
    <cfRule type="expression" dxfId="1544" priority="5" stopIfTrue="1">
      <formula>IF($S74&lt;4,TRUE,)</formula>
    </cfRule>
  </conditionalFormatting>
  <conditionalFormatting sqref="H74">
    <cfRule type="expression" dxfId="1543" priority="4" stopIfTrue="1">
      <formula>IF($S74&lt;3,TRUE,)</formula>
    </cfRule>
  </conditionalFormatting>
  <conditionalFormatting sqref="G74">
    <cfRule type="expression" dxfId="1542" priority="3" stopIfTrue="1">
      <formula>IF($S74&lt;2,TRUE,)</formula>
    </cfRule>
  </conditionalFormatting>
  <conditionalFormatting sqref="F74">
    <cfRule type="expression" dxfId="1541" priority="2" stopIfTrue="1">
      <formula>IF($S74&lt;1,TRUE,)</formula>
    </cfRule>
  </conditionalFormatting>
  <conditionalFormatting sqref="O74">
    <cfRule type="expression" dxfId="1540" priority="1" stopIfTrue="1">
      <formula>IF($S74&lt;10,TRUE,)</formula>
    </cfRule>
  </conditionalFormatting>
  <dataValidations xWindow="936" yWindow="348" count="11">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_x000a_" sqref="D76:P76"/>
    <dataValidation type="list" allowBlank="1" showInputMessage="1" showErrorMessage="1" promptTitle="DROP DOWN LIST" prompt="Select whether the named person is staff, a manager or an administrator. Leave this cell blank if you entered a FUNCTION name or left the name blank." sqref="P38:P41 P15:P18 P22:P25 P31:P34 P70:P74 P63:P66 P54:P57 P47:P50">
      <formula1>R.DDL_DEQStaffRank</formula1>
    </dataValidation>
    <dataValidation allowBlank="1" showInputMessage="1" showErrorMessage="1" promptTitle="ENTER NAME" prompt="Enter the name of the STAFF or FUNCTION involved with IMPLEMENTING the project._x000a_" sqref="D38:D41 D22:D25 D70:D74 D54:D57"/>
    <dataValidation allowBlank="1" showInputMessage="1" showErrorMessage="1" promptTitle="ENTER NAME" prompt="Enter the name of the STAFF or FUNCTION involved with DEVELOPING the project._x000a_" sqref="D47:D50 D15:D18 D31:D34 D63:D66"/>
    <dataValidation type="list" allowBlank="1" showInputMessage="1" showErrorMessage="1" promptTitle="DROP DOWN LIST" prompt="Select a range of hours from the drop down list that best describes how involved this resource will be in DEVELOPING this project." sqref="E31:E34 E47:E50 E15:E18 E63:E66">
      <formula1>R.DDL_DEQResourcesInvolved</formula1>
    </dataValidation>
    <dataValidation type="list" allowBlank="1" showInputMessage="1" showErrorMessage="1" promptTitle="DROP DOWN LIST" prompt="Select a range of hours from the drop down list that best describes how involved this resource will be in IMPLEMENTING this project." sqref="E22:E25 E38:E41 E54:E57 E70:E74">
      <formula1>R.DDL_DEQResourcesInvolved</formula1>
    </dataValidation>
    <dataValidation type="list" allowBlank="1" showInputMessage="1" showErrorMessage="1" sqref="P75">
      <formula1>R.DDL_DEQStaffRank</formula1>
    </dataValidation>
    <dataValidation type="textLength" allowBlank="1" showInputMessage="1" showErrorMessage="1" promptTitle="DESCRIBE INVOLVEMENT" prompt="_x000a_Describe how this resource would be involved with the proposal during the implementation phase of the rule." sqref="D68:P68 D20:P20 D36:P36 D52:P52">
      <formula1>0</formula1>
      <formula2>5000</formula2>
    </dataValidation>
    <dataValidation type="textLength" allowBlank="1" showInputMessage="1" showErrorMessage="1" promptTitle="DESCRIBE INVOLVEMENT" prompt="_x000a_Describe how this resource would be involved with the proposal during the development phase of the rule." sqref="D61:P61 D45:P45">
      <formula1>0</formula1>
      <formula2>5000</formula2>
    </dataValidation>
    <dataValidation type="textLength" allowBlank="1" showInputMessage="1" showErrorMessage="1" promptTitle="DESCRIBE INVOLVEMENT" prompt="_x000a_Describe how this resource would be involved with the proposal during the development phase of the rule._x000a_" sqref="D29:P29 D13:P13">
      <formula1>0</formula1>
      <formula2>5000</formula2>
    </dataValidation>
    <dataValidation allowBlank="1" showErrorMessage="1" sqref="D7:P8"/>
  </dataValidations>
  <hyperlinks>
    <hyperlink ref="A1" location="R.0Header" display="⧀ Go to Content"/>
    <hyperlink ref="A11" r:id="rId1" display="⧀ on Q-net"/>
    <hyperlink ref="A27" r:id="rId2" display="⧀ on Q-net - DEQ"/>
    <hyperlink ref="A43" r:id="rId3" display="⧀ on Q-net"/>
    <hyperlink ref="A59" r:id="rId4" display="⧀ on Q-net"/>
    <hyperlink ref="A28" r:id="rId5"/>
    <hyperlink ref="A77" location="R.10Header" display="Go to Top"/>
  </hyperlinks>
  <pageMargins left="0.25" right="0.25" top="0.75" bottom="0.75" header="0.3" footer="0.3"/>
  <pageSetup scale="89" orientation="portrait" horizontalDpi="4294967293" verticalDpi="4294967293" r:id="rId6"/>
  <rowBreaks count="2" manualBreakCount="2">
    <brk id="26" min="2" max="16" man="1"/>
    <brk id="58" min="2" max="16" man="1"/>
  </rowBreaks>
  <drawing r:id="rId7"/>
  <legacyDrawing r:id="rId8"/>
</worksheet>
</file>

<file path=xl/worksheets/sheet15.xml><?xml version="1.0" encoding="utf-8"?>
<worksheet xmlns="http://schemas.openxmlformats.org/spreadsheetml/2006/main" xmlns:r="http://schemas.openxmlformats.org/officeDocument/2006/relationships">
  <sheetPr codeName="Sheet17"/>
  <dimension ref="A1:AG70"/>
  <sheetViews>
    <sheetView showGridLines="0" topLeftCell="A27" zoomScaleNormal="100" workbookViewId="0">
      <selection activeCell="D47" sqref="D47"/>
    </sheetView>
  </sheetViews>
  <sheetFormatPr defaultColWidth="9" defaultRowHeight="20.25" outlineLevelRow="1" outlineLevelCol="1"/>
  <cols>
    <col min="1" max="1" width="13.75" style="64" customWidth="1"/>
    <col min="2" max="2" width="3.625" style="64" customWidth="1"/>
    <col min="3" max="3" width="3.625" style="44" customWidth="1"/>
    <col min="4" max="4" width="40.5" style="104" customWidth="1"/>
    <col min="5" max="5" width="15.75" style="104" customWidth="1"/>
    <col min="6" max="15" width="1.625" style="104" customWidth="1"/>
    <col min="16" max="16" width="15.75" style="104" customWidth="1"/>
    <col min="17" max="17" width="3.625" style="104" customWidth="1"/>
    <col min="18" max="18" width="3.625" style="64" customWidth="1"/>
    <col min="19" max="19" width="9" style="113" hidden="1" customWidth="1" outlineLevel="1"/>
    <col min="20" max="20" width="14.875" style="64" hidden="1" customWidth="1" outlineLevel="1"/>
    <col min="21" max="21" width="14.625" style="64" hidden="1" customWidth="1" outlineLevel="1"/>
    <col min="22" max="22" width="26.5" style="64" customWidth="1" collapsed="1"/>
    <col min="23" max="23" width="16.5" style="64" customWidth="1"/>
    <col min="24" max="24" width="18" style="64" customWidth="1"/>
    <col min="25" max="32" width="31.125" style="64" customWidth="1"/>
    <col min="33" max="33" width="31.125" style="104" customWidth="1"/>
    <col min="34" max="16384" width="9" style="104"/>
  </cols>
  <sheetData>
    <row r="1" spans="1:33" s="64" customFormat="1" ht="20.25" customHeight="1">
      <c r="A1" s="350" t="s">
        <v>104</v>
      </c>
      <c r="B1" s="334"/>
      <c r="C1" s="334"/>
      <c r="D1" s="334"/>
      <c r="E1" s="334"/>
      <c r="F1" s="334"/>
      <c r="G1" s="334"/>
      <c r="H1" s="334"/>
      <c r="I1" s="334"/>
      <c r="J1" s="334"/>
      <c r="K1" s="334"/>
      <c r="L1" s="334"/>
      <c r="M1" s="334"/>
      <c r="N1" s="334"/>
      <c r="O1" s="334"/>
      <c r="P1" s="334"/>
      <c r="Q1" s="334"/>
      <c r="R1" s="334"/>
      <c r="S1" s="113"/>
    </row>
    <row r="2" spans="1:33" s="6" customFormat="1" ht="30" customHeight="1" thickBot="1">
      <c r="A2" s="350" t="s">
        <v>107</v>
      </c>
      <c r="B2" s="334"/>
      <c r="C2" s="152">
        <v>11</v>
      </c>
      <c r="D2" s="153" t="s">
        <v>83</v>
      </c>
      <c r="E2" s="713" t="str">
        <f>R.1MediaAndLongName</f>
        <v>CP Division 12 Updates</v>
      </c>
      <c r="F2" s="713"/>
      <c r="G2" s="713"/>
      <c r="H2" s="713"/>
      <c r="I2" s="713"/>
      <c r="J2" s="713"/>
      <c r="K2" s="713"/>
      <c r="L2" s="713"/>
      <c r="M2" s="713"/>
      <c r="N2" s="713"/>
      <c r="O2" s="713"/>
      <c r="P2" s="713"/>
      <c r="Q2" s="154"/>
      <c r="R2" s="334"/>
      <c r="S2" s="119" t="str">
        <f>"R."&amp;$C$2&amp;"StaffCount"</f>
        <v>R.11StaffCount</v>
      </c>
      <c r="T2" s="119" t="str">
        <f>"R."&amp;$C$2&amp;"LowHrs"</f>
        <v>R.11LowHrs</v>
      </c>
      <c r="U2" s="349" t="str">
        <f>"R."&amp;$C$2&amp;"HighHrs"</f>
        <v>R.11HighHrs</v>
      </c>
      <c r="V2" s="120" t="s">
        <v>0</v>
      </c>
      <c r="W2" s="64"/>
      <c r="X2" s="64"/>
      <c r="Y2" s="64"/>
      <c r="Z2" s="64"/>
      <c r="AA2" s="64"/>
      <c r="AB2" s="64"/>
      <c r="AC2" s="64"/>
      <c r="AD2" s="66"/>
      <c r="AE2" s="66"/>
      <c r="AF2" s="66"/>
    </row>
    <row r="3" spans="1:33" s="6" customFormat="1" ht="20.25" customHeight="1" thickTop="1">
      <c r="A3" s="114"/>
      <c r="B3" s="334"/>
      <c r="C3" s="155"/>
      <c r="D3" s="96"/>
      <c r="E3" s="96"/>
      <c r="F3" s="82"/>
      <c r="G3" s="164"/>
      <c r="H3" s="164"/>
      <c r="I3" s="164"/>
      <c r="J3" s="97"/>
      <c r="K3" s="13"/>
      <c r="L3" s="13"/>
      <c r="M3" s="699" t="s">
        <v>57</v>
      </c>
      <c r="N3" s="699"/>
      <c r="O3" s="699"/>
      <c r="P3" s="699"/>
      <c r="Q3" s="156"/>
      <c r="R3" s="334"/>
      <c r="S3" s="121">
        <f>COUNTIFS(S15:S57,"&gt;0")</f>
        <v>1</v>
      </c>
      <c r="T3" s="124">
        <f>SUM(T15:T57)</f>
        <v>40</v>
      </c>
      <c r="U3" s="124">
        <f>SUM(U15:U57)</f>
        <v>80</v>
      </c>
      <c r="V3" s="120"/>
      <c r="W3" s="64"/>
      <c r="X3" s="64"/>
      <c r="Y3" s="64"/>
      <c r="Z3" s="64"/>
      <c r="AA3" s="64"/>
      <c r="AB3" s="64"/>
      <c r="AC3" s="64"/>
      <c r="AD3" s="66"/>
      <c r="AE3" s="66"/>
      <c r="AF3" s="66"/>
    </row>
    <row r="4" spans="1:33" s="6" customFormat="1" ht="20.25" customHeight="1">
      <c r="A4" s="114"/>
      <c r="B4" s="334"/>
      <c r="C4" s="155"/>
      <c r="D4" s="494" t="s">
        <v>55</v>
      </c>
      <c r="E4" s="81">
        <f>S3</f>
        <v>1</v>
      </c>
      <c r="F4" s="700" t="s">
        <v>54</v>
      </c>
      <c r="G4" s="700"/>
      <c r="H4" s="700"/>
      <c r="I4" s="700"/>
      <c r="J4" s="700"/>
      <c r="K4" s="700"/>
      <c r="L4" s="700"/>
      <c r="M4" s="701" t="str">
        <f>S4</f>
        <v>40-80</v>
      </c>
      <c r="N4" s="701"/>
      <c r="O4" s="701"/>
      <c r="P4" s="701"/>
      <c r="Q4" s="156"/>
      <c r="R4" s="334"/>
      <c r="S4" s="122" t="str">
        <f>IF(R.11StaffCount=0,"0",IF(R.11LowHrs=0,"0-"&amp;TEXT(R.11HighHrs,"#,###"),TEXT(R.11LowHrs,"#,###")&amp;"-"&amp;TEXT(R.11HighHrs,"#,###")))</f>
        <v>40-80</v>
      </c>
      <c r="T4" s="119" t="str">
        <f>"R."&amp;$C$2&amp;"LowDollars"</f>
        <v>R.11LowDollars</v>
      </c>
      <c r="U4" s="349" t="str">
        <f>"R."&amp;$C$2&amp;"HighDollars"</f>
        <v>R.11HighDollars</v>
      </c>
      <c r="V4" s="120"/>
      <c r="W4" s="64"/>
      <c r="X4" s="64"/>
      <c r="Y4" s="64"/>
      <c r="Z4" s="64"/>
      <c r="AA4" s="64"/>
      <c r="AB4" s="64"/>
      <c r="AC4" s="64"/>
      <c r="AD4" s="66"/>
      <c r="AE4" s="66"/>
      <c r="AF4" s="66"/>
    </row>
    <row r="5" spans="1:33" s="6" customFormat="1" ht="20.25" customHeight="1">
      <c r="A5" s="114"/>
      <c r="B5" s="334"/>
      <c r="C5" s="155"/>
      <c r="D5" s="494" t="s">
        <v>68</v>
      </c>
      <c r="E5" s="98">
        <f>R.AvgHrDEQCost</f>
        <v>58</v>
      </c>
      <c r="F5" s="700" t="s">
        <v>58</v>
      </c>
      <c r="G5" s="700"/>
      <c r="H5" s="700"/>
      <c r="I5" s="700"/>
      <c r="J5" s="700"/>
      <c r="K5" s="700"/>
      <c r="L5" s="700"/>
      <c r="M5" s="702" t="str">
        <f>S5</f>
        <v>$2,320-4,640</v>
      </c>
      <c r="N5" s="702"/>
      <c r="O5" s="702"/>
      <c r="P5" s="702"/>
      <c r="Q5" s="156"/>
      <c r="R5" s="334"/>
      <c r="S5" s="122" t="str">
        <f>IF(R.11StaffCount=0,"$0",IF(R.11LowDollars=0,"$0-"&amp;TEXT(R.11HighDollars,"#,###"),TEXT(R.11LowDollars,"$#,###")&amp;"-"&amp;TEXT(R.11HighDollars,"#,###")))</f>
        <v>$2,320-4,640</v>
      </c>
      <c r="T5" s="124">
        <f>T3*E5</f>
        <v>2320</v>
      </c>
      <c r="U5" s="124">
        <f>U3*E5</f>
        <v>4640</v>
      </c>
      <c r="V5" s="120"/>
      <c r="W5" s="64"/>
      <c r="X5" s="64"/>
      <c r="Y5" s="64"/>
      <c r="Z5" s="64"/>
      <c r="AA5" s="64"/>
      <c r="AB5" s="64"/>
      <c r="AC5" s="64"/>
      <c r="AD5" s="66"/>
      <c r="AE5" s="66"/>
      <c r="AF5" s="66"/>
    </row>
    <row r="6" spans="1:33" s="6" customFormat="1" ht="8.25" customHeight="1">
      <c r="A6" s="114"/>
      <c r="B6" s="334"/>
      <c r="C6" s="155"/>
      <c r="D6" s="110" t="s">
        <v>0</v>
      </c>
      <c r="E6" s="100"/>
      <c r="F6" s="99"/>
      <c r="G6" s="99"/>
      <c r="H6" s="99"/>
      <c r="I6" s="99"/>
      <c r="J6" s="99"/>
      <c r="K6" s="99"/>
      <c r="L6" s="99"/>
      <c r="M6" s="99"/>
      <c r="N6" s="99"/>
      <c r="O6" s="99"/>
      <c r="P6" s="99"/>
      <c r="Q6" s="156"/>
      <c r="R6" s="334"/>
      <c r="S6" s="66"/>
      <c r="T6" s="66"/>
      <c r="U6" s="66"/>
      <c r="V6" s="120"/>
      <c r="W6" s="64"/>
      <c r="X6" s="64"/>
      <c r="Y6" s="64"/>
      <c r="Z6" s="64"/>
      <c r="AA6" s="64"/>
      <c r="AB6" s="64"/>
      <c r="AC6" s="64"/>
      <c r="AD6" s="66"/>
      <c r="AE6" s="66"/>
      <c r="AF6" s="66"/>
    </row>
    <row r="7" spans="1:33" s="6" customFormat="1" ht="105" customHeight="1">
      <c r="A7" s="316"/>
      <c r="B7" s="334"/>
      <c r="C7" s="155"/>
      <c r="D7" s="730" t="s">
        <v>248</v>
      </c>
      <c r="E7" s="731"/>
      <c r="F7" s="731"/>
      <c r="G7" s="731"/>
      <c r="H7" s="731"/>
      <c r="I7" s="731"/>
      <c r="J7" s="731"/>
      <c r="K7" s="731"/>
      <c r="L7" s="731"/>
      <c r="M7" s="731"/>
      <c r="N7" s="731"/>
      <c r="O7" s="731"/>
      <c r="P7" s="732"/>
      <c r="Q7" s="156"/>
      <c r="R7" s="334"/>
      <c r="S7" s="496">
        <f>AVERAGEIF(S14:S56,"&gt;0")</f>
        <v>3</v>
      </c>
      <c r="T7" s="493"/>
      <c r="U7" s="493"/>
      <c r="V7" s="120"/>
      <c r="W7" s="436"/>
      <c r="X7" s="436"/>
      <c r="Y7" s="436"/>
      <c r="Z7" s="436"/>
      <c r="AA7" s="436"/>
      <c r="AB7" s="436"/>
      <c r="AC7" s="436"/>
      <c r="AD7" s="66"/>
      <c r="AE7" s="66"/>
      <c r="AF7" s="66"/>
    </row>
    <row r="8" spans="1:33" s="6" customFormat="1" ht="20.25" customHeight="1">
      <c r="A8" s="316"/>
      <c r="B8" s="334"/>
      <c r="C8" s="155"/>
      <c r="D8" s="748" t="s">
        <v>517</v>
      </c>
      <c r="E8" s="748"/>
      <c r="F8" s="748"/>
      <c r="G8" s="748"/>
      <c r="H8" s="748"/>
      <c r="I8" s="748"/>
      <c r="J8" s="748"/>
      <c r="K8" s="748"/>
      <c r="L8" s="748"/>
      <c r="M8" s="748"/>
      <c r="N8" s="748"/>
      <c r="O8" s="748"/>
      <c r="P8" s="748"/>
      <c r="Q8" s="156"/>
      <c r="R8" s="334"/>
      <c r="T8" s="493"/>
      <c r="U8" s="493"/>
      <c r="V8" s="120"/>
      <c r="W8" s="436"/>
      <c r="X8" s="436"/>
      <c r="Y8" s="436"/>
      <c r="Z8" s="436"/>
      <c r="AA8" s="436"/>
      <c r="AB8" s="436"/>
      <c r="AC8" s="436"/>
      <c r="AD8" s="66"/>
      <c r="AE8" s="66"/>
      <c r="AF8" s="66"/>
    </row>
    <row r="9" spans="1:33" s="28" customFormat="1" ht="15.75" customHeight="1">
      <c r="A9" s="345"/>
      <c r="B9" s="440"/>
      <c r="C9" s="138"/>
      <c r="D9" s="745" t="s">
        <v>469</v>
      </c>
      <c r="E9" s="746"/>
      <c r="F9" s="746"/>
      <c r="G9" s="746"/>
      <c r="H9" s="746"/>
      <c r="I9" s="746"/>
      <c r="J9" s="746"/>
      <c r="K9" s="746"/>
      <c r="L9" s="746"/>
      <c r="M9" s="746"/>
      <c r="N9" s="746"/>
      <c r="O9" s="746"/>
      <c r="P9" s="747"/>
      <c r="Q9" s="139"/>
      <c r="R9" s="440"/>
      <c r="S9"/>
      <c r="T9" s="463"/>
      <c r="U9" s="441"/>
      <c r="V9" s="438"/>
      <c r="W9" s="438"/>
      <c r="X9" s="438"/>
      <c r="Y9" s="438"/>
      <c r="Z9" s="438"/>
      <c r="AA9" s="438"/>
      <c r="AB9" s="438"/>
      <c r="AC9" s="438"/>
      <c r="AD9" s="130"/>
      <c r="AE9" s="130"/>
      <c r="AF9" s="130"/>
      <c r="AG9" s="130"/>
    </row>
    <row r="10" spans="1:33" s="69" customFormat="1" ht="14.25" customHeight="1">
      <c r="A10" s="115"/>
      <c r="B10" s="334"/>
      <c r="C10" s="404"/>
      <c r="D10" s="405"/>
      <c r="E10" s="405"/>
      <c r="F10" s="405"/>
      <c r="G10" s="405"/>
      <c r="H10" s="405"/>
      <c r="I10" s="405"/>
      <c r="J10" s="405"/>
      <c r="K10" s="405"/>
      <c r="L10" s="405"/>
      <c r="M10" s="405"/>
      <c r="N10" s="405"/>
      <c r="O10" s="405"/>
      <c r="P10" s="405"/>
      <c r="Q10" s="406"/>
      <c r="R10" s="334"/>
      <c r="S10" s="125"/>
      <c r="T10" s="125"/>
      <c r="U10" s="125"/>
      <c r="V10" s="126"/>
      <c r="W10" s="126"/>
      <c r="X10" s="126"/>
      <c r="Y10" s="126"/>
      <c r="Z10" s="126"/>
      <c r="AA10" s="126"/>
      <c r="AB10" s="126"/>
      <c r="AC10" s="126"/>
      <c r="AD10" s="125"/>
      <c r="AE10" s="125"/>
      <c r="AF10" s="125"/>
    </row>
    <row r="11" spans="1:33" s="33" customFormat="1" ht="30" customHeight="1">
      <c r="A11" s="301"/>
      <c r="B11" s="334"/>
      <c r="C11" s="480" t="s">
        <v>0</v>
      </c>
      <c r="D11" s="304" t="s">
        <v>136</v>
      </c>
      <c r="E11" s="94"/>
      <c r="F11" s="94"/>
      <c r="G11" s="94"/>
      <c r="H11" s="94"/>
      <c r="I11" s="94"/>
      <c r="J11" s="94"/>
      <c r="K11" s="94"/>
      <c r="L11" s="94"/>
      <c r="M11" s="94"/>
      <c r="N11" s="94"/>
      <c r="O11" s="94"/>
      <c r="P11" s="94"/>
      <c r="Q11" s="137"/>
      <c r="R11" s="334"/>
      <c r="S11" s="128"/>
      <c r="T11" s="127"/>
      <c r="U11" s="127"/>
      <c r="V11" s="129"/>
      <c r="W11" s="129"/>
      <c r="X11" s="129"/>
      <c r="Y11" s="129"/>
      <c r="Z11" s="129"/>
      <c r="AA11" s="129"/>
      <c r="AB11" s="129"/>
      <c r="AC11" s="129"/>
      <c r="AD11" s="127"/>
      <c r="AE11" s="127"/>
      <c r="AF11" s="127"/>
    </row>
    <row r="12" spans="1:33" s="33" customFormat="1" ht="14.25" customHeight="1">
      <c r="A12" s="116"/>
      <c r="B12" s="334"/>
      <c r="C12" s="232"/>
      <c r="D12" s="443" t="s">
        <v>53</v>
      </c>
      <c r="E12" s="94"/>
      <c r="F12" s="94"/>
      <c r="G12" s="94"/>
      <c r="H12" s="94"/>
      <c r="I12" s="94"/>
      <c r="J12" s="94"/>
      <c r="K12" s="94"/>
      <c r="L12" s="94"/>
      <c r="M12" s="94"/>
      <c r="N12" s="94"/>
      <c r="O12" s="94"/>
      <c r="P12" s="94"/>
      <c r="Q12" s="137"/>
      <c r="R12" s="334"/>
      <c r="S12" s="242"/>
      <c r="T12" s="127"/>
      <c r="U12" s="127"/>
      <c r="V12" s="230"/>
      <c r="W12" s="230"/>
      <c r="X12" s="230"/>
      <c r="Y12" s="230"/>
      <c r="Z12" s="230"/>
      <c r="AA12" s="230"/>
      <c r="AB12" s="230"/>
      <c r="AC12" s="230"/>
      <c r="AD12" s="127"/>
      <c r="AE12" s="127"/>
      <c r="AF12" s="127"/>
    </row>
    <row r="13" spans="1:33" s="28" customFormat="1" ht="15.75" customHeight="1">
      <c r="A13" s="117"/>
      <c r="B13" s="334"/>
      <c r="C13" s="138"/>
      <c r="D13" s="719" t="s">
        <v>0</v>
      </c>
      <c r="E13" s="720"/>
      <c r="F13" s="720"/>
      <c r="G13" s="720"/>
      <c r="H13" s="720"/>
      <c r="I13" s="720"/>
      <c r="J13" s="720"/>
      <c r="K13" s="720"/>
      <c r="L13" s="720"/>
      <c r="M13" s="720"/>
      <c r="N13" s="720"/>
      <c r="O13" s="720"/>
      <c r="P13" s="721"/>
      <c r="Q13" s="139"/>
      <c r="R13" s="334"/>
      <c r="S13" s="131"/>
      <c r="T13" s="130"/>
      <c r="U13" s="130"/>
      <c r="V13" s="64"/>
      <c r="W13" s="64"/>
      <c r="X13" s="64"/>
      <c r="Y13" s="64"/>
      <c r="Z13" s="64"/>
      <c r="AA13" s="64"/>
      <c r="AB13" s="64"/>
      <c r="AC13" s="64"/>
      <c r="AD13" s="130"/>
      <c r="AE13" s="130"/>
      <c r="AF13" s="130"/>
    </row>
    <row r="14" spans="1:33" s="33" customFormat="1" ht="14.25" customHeight="1">
      <c r="A14" s="116"/>
      <c r="B14" s="334"/>
      <c r="C14" s="233"/>
      <c r="D14" s="497" t="s">
        <v>60</v>
      </c>
      <c r="E14" s="393" t="s">
        <v>18</v>
      </c>
      <c r="F14" s="733" t="s">
        <v>19</v>
      </c>
      <c r="G14" s="733"/>
      <c r="H14" s="733"/>
      <c r="I14" s="733"/>
      <c r="J14" s="733"/>
      <c r="K14" s="733"/>
      <c r="L14" s="733"/>
      <c r="M14" s="733"/>
      <c r="N14" s="733"/>
      <c r="O14" s="733"/>
      <c r="P14" s="393" t="s">
        <v>20</v>
      </c>
      <c r="Q14" s="137"/>
      <c r="R14" s="334"/>
      <c r="S14" s="228"/>
      <c r="T14" s="229"/>
      <c r="U14" s="229"/>
      <c r="V14" s="230"/>
      <c r="W14" s="230"/>
      <c r="X14" s="230"/>
      <c r="Y14" s="230"/>
      <c r="Z14" s="230"/>
      <c r="AA14" s="230"/>
      <c r="AB14" s="230"/>
      <c r="AC14" s="230"/>
      <c r="AD14" s="127"/>
      <c r="AE14" s="127"/>
      <c r="AF14" s="127"/>
    </row>
    <row r="15" spans="1:33" s="28" customFormat="1" ht="15.75" customHeight="1">
      <c r="A15" s="117"/>
      <c r="B15" s="334"/>
      <c r="C15" s="138"/>
      <c r="D15" s="36" t="s">
        <v>0</v>
      </c>
      <c r="E15" s="30" t="s">
        <v>229</v>
      </c>
      <c r="F15" s="71">
        <v>1</v>
      </c>
      <c r="G15" s="72">
        <v>2</v>
      </c>
      <c r="H15" s="73">
        <v>3</v>
      </c>
      <c r="I15" s="74">
        <v>4</v>
      </c>
      <c r="J15" s="75">
        <v>5</v>
      </c>
      <c r="K15" s="76">
        <v>6</v>
      </c>
      <c r="L15" s="77">
        <v>7</v>
      </c>
      <c r="M15" s="78">
        <v>8</v>
      </c>
      <c r="N15" s="79">
        <v>9</v>
      </c>
      <c r="O15" s="80">
        <v>10</v>
      </c>
      <c r="P15" s="32" t="s">
        <v>0</v>
      </c>
      <c r="Q15" s="139"/>
      <c r="R15" s="334"/>
      <c r="S15" s="133">
        <f>VLOOKUP($E15,R.VL_DEQResourcesInvolved,2,FALSE)</f>
        <v>0</v>
      </c>
      <c r="T15" s="121">
        <f>VLOOKUP($E15,R.VL_DEQResourcesInvolved,3,FALSE)</f>
        <v>0</v>
      </c>
      <c r="U15" s="121">
        <f>IF(S15=10,T15,VLOOKUP($E15,R.VL_DEQResourcesInvolved,4,FALSE))</f>
        <v>0</v>
      </c>
      <c r="V15" s="575" t="s">
        <v>554</v>
      </c>
      <c r="W15" s="64"/>
      <c r="X15" s="64"/>
      <c r="Y15" s="64"/>
      <c r="Z15" s="64"/>
      <c r="AA15" s="64"/>
      <c r="AB15" s="64"/>
      <c r="AC15" s="64"/>
      <c r="AD15" s="130"/>
      <c r="AE15" s="130"/>
      <c r="AF15" s="130"/>
    </row>
    <row r="16" spans="1:33" s="28" customFormat="1" ht="15.75" hidden="1" customHeight="1" outlineLevel="1">
      <c r="A16" s="117"/>
      <c r="B16" s="334"/>
      <c r="C16" s="138"/>
      <c r="D16" s="36" t="s">
        <v>0</v>
      </c>
      <c r="E16" s="30" t="s">
        <v>229</v>
      </c>
      <c r="F16" s="71">
        <v>1</v>
      </c>
      <c r="G16" s="72">
        <v>2</v>
      </c>
      <c r="H16" s="73">
        <v>3</v>
      </c>
      <c r="I16" s="74">
        <v>4</v>
      </c>
      <c r="J16" s="75">
        <v>5</v>
      </c>
      <c r="K16" s="76">
        <v>6</v>
      </c>
      <c r="L16" s="77">
        <v>7</v>
      </c>
      <c r="M16" s="78">
        <v>8</v>
      </c>
      <c r="N16" s="79">
        <v>9</v>
      </c>
      <c r="O16" s="80">
        <v>10</v>
      </c>
      <c r="P16" s="32" t="s">
        <v>0</v>
      </c>
      <c r="Q16" s="139"/>
      <c r="R16" s="334"/>
      <c r="S16" s="133">
        <f>VLOOKUP($E16,R.VL_DEQResourcesInvolved,2,FALSE)</f>
        <v>0</v>
      </c>
      <c r="T16" s="121">
        <f>VLOOKUP($E16,R.VL_DEQResourcesInvolved,3,FALSE)</f>
        <v>0</v>
      </c>
      <c r="U16" s="121">
        <f>IF(S16=10,T16,VLOOKUP($E16,R.VL_DEQResourcesInvolved,4,FALSE))</f>
        <v>0</v>
      </c>
      <c r="V16" s="64"/>
      <c r="W16" s="64"/>
      <c r="X16" s="64"/>
      <c r="Y16" s="64"/>
      <c r="Z16" s="64"/>
      <c r="AA16" s="64"/>
      <c r="AB16" s="64"/>
      <c r="AC16" s="64"/>
      <c r="AD16" s="130"/>
      <c r="AE16" s="130"/>
      <c r="AF16" s="130"/>
    </row>
    <row r="17" spans="1:32" s="28" customFormat="1" ht="15.75" hidden="1" customHeight="1" outlineLevel="1">
      <c r="A17" s="117"/>
      <c r="B17" s="334"/>
      <c r="C17" s="138"/>
      <c r="D17" s="36" t="s">
        <v>0</v>
      </c>
      <c r="E17" s="30" t="s">
        <v>229</v>
      </c>
      <c r="F17" s="71">
        <v>1</v>
      </c>
      <c r="G17" s="72">
        <v>2</v>
      </c>
      <c r="H17" s="73">
        <v>3</v>
      </c>
      <c r="I17" s="74">
        <v>4</v>
      </c>
      <c r="J17" s="75">
        <v>5</v>
      </c>
      <c r="K17" s="76">
        <v>6</v>
      </c>
      <c r="L17" s="77">
        <v>7</v>
      </c>
      <c r="M17" s="78">
        <v>8</v>
      </c>
      <c r="N17" s="79">
        <v>9</v>
      </c>
      <c r="O17" s="80">
        <v>10</v>
      </c>
      <c r="P17" s="32"/>
      <c r="Q17" s="139"/>
      <c r="R17" s="334"/>
      <c r="S17" s="133">
        <f>VLOOKUP($E17,R.VL_DEQResourcesInvolved,2,FALSE)</f>
        <v>0</v>
      </c>
      <c r="T17" s="121">
        <f>VLOOKUP($E17,R.VL_DEQResourcesInvolved,3,FALSE)</f>
        <v>0</v>
      </c>
      <c r="U17" s="121">
        <f>IF(S17=10,T17,VLOOKUP($E17,R.VL_DEQResourcesInvolved,4,FALSE))</f>
        <v>0</v>
      </c>
      <c r="V17" s="64"/>
      <c r="W17" s="64"/>
      <c r="X17" s="64"/>
      <c r="Y17" s="64"/>
      <c r="Z17" s="64"/>
      <c r="AA17" s="64"/>
      <c r="AB17" s="64"/>
      <c r="AC17" s="64"/>
      <c r="AD17" s="130"/>
      <c r="AE17" s="130"/>
      <c r="AF17" s="130"/>
    </row>
    <row r="18" spans="1:32" s="28" customFormat="1" ht="15.75" hidden="1" customHeight="1" outlineLevel="1">
      <c r="A18" s="117"/>
      <c r="B18" s="334"/>
      <c r="C18" s="138"/>
      <c r="D18" s="36"/>
      <c r="E18" s="30" t="s">
        <v>229</v>
      </c>
      <c r="F18" s="71">
        <v>1</v>
      </c>
      <c r="G18" s="72">
        <v>2</v>
      </c>
      <c r="H18" s="73">
        <v>3</v>
      </c>
      <c r="I18" s="74">
        <v>4</v>
      </c>
      <c r="J18" s="75">
        <v>5</v>
      </c>
      <c r="K18" s="76">
        <v>6</v>
      </c>
      <c r="L18" s="77">
        <v>7</v>
      </c>
      <c r="M18" s="78">
        <v>8</v>
      </c>
      <c r="N18" s="79">
        <v>9</v>
      </c>
      <c r="O18" s="80">
        <v>10</v>
      </c>
      <c r="P18" s="32"/>
      <c r="Q18" s="139"/>
      <c r="R18" s="334"/>
      <c r="S18" s="133">
        <f>VLOOKUP($E18,R.VL_DEQResourcesInvolved,2,FALSE)</f>
        <v>0</v>
      </c>
      <c r="T18" s="121">
        <f>VLOOKUP($E18,R.VL_DEQResourcesInvolved,3,FALSE)</f>
        <v>0</v>
      </c>
      <c r="U18" s="121">
        <f>IF(S18=10,T18,VLOOKUP($E18,R.VL_DEQResourcesInvolved,4,FALSE))</f>
        <v>0</v>
      </c>
      <c r="V18" s="64"/>
      <c r="W18" s="64"/>
      <c r="X18" s="64"/>
      <c r="Y18" s="64"/>
      <c r="Z18" s="64"/>
      <c r="AA18" s="64"/>
      <c r="AB18" s="64"/>
      <c r="AC18" s="64"/>
      <c r="AD18" s="130"/>
      <c r="AE18" s="130"/>
      <c r="AF18" s="130"/>
    </row>
    <row r="19" spans="1:32" s="28" customFormat="1" ht="14.25" customHeight="1" collapsed="1">
      <c r="A19" s="117"/>
      <c r="B19" s="334"/>
      <c r="C19" s="245"/>
      <c r="D19" s="442" t="s">
        <v>52</v>
      </c>
      <c r="E19" s="31"/>
      <c r="F19" s="31"/>
      <c r="G19" s="31"/>
      <c r="H19" s="31"/>
      <c r="I19" s="31"/>
      <c r="J19" s="31"/>
      <c r="K19" s="31"/>
      <c r="L19" s="31"/>
      <c r="M19" s="31"/>
      <c r="N19" s="31"/>
      <c r="O19" s="31"/>
      <c r="P19" s="31"/>
      <c r="Q19" s="143"/>
      <c r="R19" s="334"/>
      <c r="S19" s="228"/>
      <c r="T19" s="229"/>
      <c r="U19" s="229"/>
      <c r="V19" s="236"/>
      <c r="W19" s="236"/>
      <c r="X19" s="236"/>
      <c r="Y19" s="236"/>
      <c r="Z19" s="236"/>
      <c r="AA19" s="236"/>
      <c r="AB19" s="236"/>
      <c r="AC19" s="236"/>
      <c r="AD19" s="130"/>
      <c r="AE19" s="130"/>
      <c r="AF19" s="130"/>
    </row>
    <row r="20" spans="1:32" s="28" customFormat="1" ht="20.25" customHeight="1">
      <c r="A20" s="117"/>
      <c r="B20" s="334"/>
      <c r="C20" s="138"/>
      <c r="D20" s="734"/>
      <c r="E20" s="735"/>
      <c r="F20" s="735"/>
      <c r="G20" s="735"/>
      <c r="H20" s="735"/>
      <c r="I20" s="735"/>
      <c r="J20" s="735"/>
      <c r="K20" s="735"/>
      <c r="L20" s="735"/>
      <c r="M20" s="735"/>
      <c r="N20" s="735"/>
      <c r="O20" s="735"/>
      <c r="P20" s="736"/>
      <c r="Q20" s="139"/>
      <c r="R20" s="334"/>
      <c r="S20" s="132" t="s">
        <v>0</v>
      </c>
      <c r="T20" s="131"/>
      <c r="U20" s="131"/>
      <c r="V20" s="64"/>
      <c r="W20" s="64"/>
      <c r="X20" s="64"/>
      <c r="Y20" s="64"/>
      <c r="Z20" s="64"/>
      <c r="AA20" s="64"/>
      <c r="AB20" s="64"/>
      <c r="AC20" s="64"/>
      <c r="AD20" s="130"/>
      <c r="AE20" s="130"/>
      <c r="AF20" s="130"/>
    </row>
    <row r="21" spans="1:32" s="33" customFormat="1" ht="14.25" customHeight="1">
      <c r="A21" s="116"/>
      <c r="B21" s="334"/>
      <c r="C21" s="232"/>
      <c r="D21" s="442" t="s">
        <v>60</v>
      </c>
      <c r="E21" s="292" t="s">
        <v>18</v>
      </c>
      <c r="F21" s="749" t="s">
        <v>19</v>
      </c>
      <c r="G21" s="749"/>
      <c r="H21" s="749"/>
      <c r="I21" s="749"/>
      <c r="J21" s="749"/>
      <c r="K21" s="749"/>
      <c r="L21" s="749"/>
      <c r="M21" s="749"/>
      <c r="N21" s="749"/>
      <c r="O21" s="749"/>
      <c r="P21" s="292" t="s">
        <v>20</v>
      </c>
      <c r="Q21" s="137"/>
      <c r="R21" s="334"/>
      <c r="S21" s="228"/>
      <c r="T21" s="229"/>
      <c r="U21" s="229"/>
      <c r="V21" s="230"/>
      <c r="W21" s="230"/>
      <c r="X21" s="230"/>
      <c r="Y21" s="230"/>
      <c r="Z21" s="230"/>
      <c r="AA21" s="230"/>
      <c r="AB21" s="230"/>
      <c r="AC21" s="230"/>
      <c r="AD21" s="127"/>
      <c r="AE21" s="127"/>
      <c r="AF21" s="127"/>
    </row>
    <row r="22" spans="1:32" s="28" customFormat="1" ht="15.75" customHeight="1">
      <c r="A22" s="117"/>
      <c r="B22" s="334"/>
      <c r="C22" s="138"/>
      <c r="D22" s="36" t="s">
        <v>0</v>
      </c>
      <c r="E22" s="30" t="s">
        <v>229</v>
      </c>
      <c r="F22" s="71">
        <v>1</v>
      </c>
      <c r="G22" s="72">
        <v>2</v>
      </c>
      <c r="H22" s="73">
        <v>3</v>
      </c>
      <c r="I22" s="74">
        <v>4</v>
      </c>
      <c r="J22" s="75">
        <v>5</v>
      </c>
      <c r="K22" s="76">
        <v>6</v>
      </c>
      <c r="L22" s="77">
        <v>7</v>
      </c>
      <c r="M22" s="78">
        <v>8</v>
      </c>
      <c r="N22" s="79">
        <v>9</v>
      </c>
      <c r="O22" s="80">
        <v>10</v>
      </c>
      <c r="P22" s="32" t="s">
        <v>0</v>
      </c>
      <c r="Q22" s="139"/>
      <c r="R22" s="334"/>
      <c r="S22" s="133">
        <f>VLOOKUP($E22,R.VL_DEQResourcesInvolved,2,FALSE)</f>
        <v>0</v>
      </c>
      <c r="T22" s="121">
        <f>VLOOKUP($E22,R.VL_DEQResourcesInvolved,3,FALSE)</f>
        <v>0</v>
      </c>
      <c r="U22" s="121">
        <f>IF(S22=10,T22,VLOOKUP($E22,R.VL_DEQResourcesInvolved,4,FALSE))</f>
        <v>0</v>
      </c>
      <c r="V22" s="575" t="s">
        <v>554</v>
      </c>
      <c r="W22" s="64"/>
      <c r="X22" s="64"/>
      <c r="Y22" s="64"/>
      <c r="Z22" s="64"/>
      <c r="AA22" s="64"/>
      <c r="AB22" s="64"/>
      <c r="AC22" s="64"/>
      <c r="AD22" s="130"/>
      <c r="AE22" s="130"/>
      <c r="AF22" s="130"/>
    </row>
    <row r="23" spans="1:32" s="28" customFormat="1" ht="15.75" hidden="1" customHeight="1" outlineLevel="1">
      <c r="A23" s="117"/>
      <c r="B23" s="334"/>
      <c r="C23" s="138"/>
      <c r="D23" s="36"/>
      <c r="E23" s="30" t="s">
        <v>229</v>
      </c>
      <c r="F23" s="71">
        <v>1</v>
      </c>
      <c r="G23" s="72">
        <v>2</v>
      </c>
      <c r="H23" s="73">
        <v>3</v>
      </c>
      <c r="I23" s="74">
        <v>4</v>
      </c>
      <c r="J23" s="75">
        <v>5</v>
      </c>
      <c r="K23" s="76">
        <v>6</v>
      </c>
      <c r="L23" s="77">
        <v>7</v>
      </c>
      <c r="M23" s="78">
        <v>8</v>
      </c>
      <c r="N23" s="79">
        <v>9</v>
      </c>
      <c r="O23" s="80">
        <v>10</v>
      </c>
      <c r="P23" s="32"/>
      <c r="Q23" s="139"/>
      <c r="R23" s="334"/>
      <c r="S23" s="133">
        <f>VLOOKUP($E23,R.VL_DEQResourcesInvolved,2,FALSE)</f>
        <v>0</v>
      </c>
      <c r="T23" s="121">
        <f>VLOOKUP($E23,R.VL_DEQResourcesInvolved,3,FALSE)</f>
        <v>0</v>
      </c>
      <c r="U23" s="121">
        <f>IF(S23=10,T23,VLOOKUP($E23,R.VL_DEQResourcesInvolved,4,FALSE))</f>
        <v>0</v>
      </c>
      <c r="V23" s="64"/>
      <c r="W23" s="64"/>
      <c r="X23" s="64"/>
      <c r="Y23" s="64"/>
      <c r="Z23" s="64"/>
      <c r="AA23" s="64"/>
      <c r="AB23" s="64"/>
      <c r="AC23" s="64"/>
      <c r="AD23" s="130"/>
      <c r="AE23" s="130"/>
      <c r="AF23" s="130"/>
    </row>
    <row r="24" spans="1:32" s="28" customFormat="1" ht="15.75" hidden="1" customHeight="1" outlineLevel="1">
      <c r="A24" s="117"/>
      <c r="B24" s="334"/>
      <c r="C24" s="138"/>
      <c r="D24" s="36" t="s">
        <v>0</v>
      </c>
      <c r="E24" s="30" t="s">
        <v>229</v>
      </c>
      <c r="F24" s="71">
        <v>1</v>
      </c>
      <c r="G24" s="72">
        <v>2</v>
      </c>
      <c r="H24" s="73">
        <v>3</v>
      </c>
      <c r="I24" s="74">
        <v>4</v>
      </c>
      <c r="J24" s="75">
        <v>5</v>
      </c>
      <c r="K24" s="76">
        <v>6</v>
      </c>
      <c r="L24" s="77">
        <v>7</v>
      </c>
      <c r="M24" s="78">
        <v>8</v>
      </c>
      <c r="N24" s="79">
        <v>9</v>
      </c>
      <c r="O24" s="80">
        <v>10</v>
      </c>
      <c r="P24" s="32" t="s">
        <v>0</v>
      </c>
      <c r="Q24" s="139"/>
      <c r="R24" s="334"/>
      <c r="S24" s="133">
        <f>VLOOKUP($E24,R.VL_DEQResourcesInvolved,2,FALSE)</f>
        <v>0</v>
      </c>
      <c r="T24" s="121">
        <f>VLOOKUP($E24,R.VL_DEQResourcesInvolved,3,FALSE)</f>
        <v>0</v>
      </c>
      <c r="U24" s="121">
        <f>IF(S24=10,T24,VLOOKUP($E24,R.VL_DEQResourcesInvolved,4,FALSE))</f>
        <v>0</v>
      </c>
      <c r="V24" s="64"/>
      <c r="W24" s="64"/>
      <c r="X24" s="64"/>
      <c r="Y24" s="64"/>
      <c r="Z24" s="64"/>
      <c r="AA24" s="64"/>
      <c r="AB24" s="64"/>
      <c r="AC24" s="64"/>
      <c r="AD24" s="130"/>
      <c r="AE24" s="130"/>
      <c r="AF24" s="130"/>
    </row>
    <row r="25" spans="1:32" s="28" customFormat="1" ht="15.75" hidden="1" customHeight="1" outlineLevel="1">
      <c r="A25" s="117"/>
      <c r="B25" s="334"/>
      <c r="C25" s="138"/>
      <c r="D25" s="36" t="s">
        <v>0</v>
      </c>
      <c r="E25" s="30" t="s">
        <v>229</v>
      </c>
      <c r="F25" s="71">
        <v>1</v>
      </c>
      <c r="G25" s="72">
        <v>2</v>
      </c>
      <c r="H25" s="73">
        <v>3</v>
      </c>
      <c r="I25" s="74">
        <v>4</v>
      </c>
      <c r="J25" s="75">
        <v>5</v>
      </c>
      <c r="K25" s="76">
        <v>6</v>
      </c>
      <c r="L25" s="77">
        <v>7</v>
      </c>
      <c r="M25" s="78">
        <v>8</v>
      </c>
      <c r="N25" s="79">
        <v>9</v>
      </c>
      <c r="O25" s="80">
        <v>10</v>
      </c>
      <c r="P25" s="32" t="s">
        <v>0</v>
      </c>
      <c r="Q25" s="139"/>
      <c r="R25" s="334"/>
      <c r="S25" s="133">
        <f>VLOOKUP($E25,R.VL_DEQResourcesInvolved,2,FALSE)</f>
        <v>0</v>
      </c>
      <c r="T25" s="121">
        <f>VLOOKUP($E25,R.VL_DEQResourcesInvolved,3,FALSE)</f>
        <v>0</v>
      </c>
      <c r="U25" s="121">
        <f>IF(S25=10,T25,VLOOKUP($E25,R.VL_DEQResourcesInvolved,4,FALSE))</f>
        <v>0</v>
      </c>
      <c r="V25" s="64"/>
      <c r="W25" s="64"/>
      <c r="X25" s="64"/>
      <c r="Y25" s="64"/>
      <c r="Z25" s="64"/>
      <c r="AA25" s="64"/>
      <c r="AB25" s="64"/>
      <c r="AC25" s="64"/>
      <c r="AD25" s="130"/>
      <c r="AE25" s="130"/>
      <c r="AF25" s="130"/>
    </row>
    <row r="26" spans="1:32" s="28" customFormat="1" ht="14.25" customHeight="1" collapsed="1">
      <c r="A26" s="117"/>
      <c r="B26" s="334"/>
      <c r="C26" s="144"/>
      <c r="D26" s="101"/>
      <c r="E26" s="738"/>
      <c r="F26" s="738"/>
      <c r="G26" s="738"/>
      <c r="H26" s="738"/>
      <c r="I26" s="738"/>
      <c r="J26" s="738"/>
      <c r="K26" s="738"/>
      <c r="L26" s="738"/>
      <c r="M26" s="738"/>
      <c r="N26" s="738"/>
      <c r="O26" s="738"/>
      <c r="P26" s="738"/>
      <c r="Q26" s="145"/>
      <c r="R26" s="334"/>
      <c r="S26" s="132"/>
      <c r="T26" s="131"/>
      <c r="U26" s="131"/>
      <c r="V26" s="575"/>
      <c r="W26" s="64"/>
      <c r="X26" s="64"/>
      <c r="Y26" s="64"/>
      <c r="Z26" s="64"/>
      <c r="AA26" s="64"/>
      <c r="AB26" s="64"/>
      <c r="AC26" s="64"/>
      <c r="AD26" s="130"/>
      <c r="AE26" s="130"/>
      <c r="AF26" s="130"/>
    </row>
    <row r="27" spans="1:32" s="33" customFormat="1" ht="30" customHeight="1">
      <c r="A27" s="350" t="s">
        <v>107</v>
      </c>
      <c r="B27" s="334"/>
      <c r="C27" s="136"/>
      <c r="D27" s="306" t="s">
        <v>137</v>
      </c>
      <c r="E27" s="302"/>
      <c r="F27" s="94"/>
      <c r="G27" s="94"/>
      <c r="H27" s="94"/>
      <c r="I27" s="94"/>
      <c r="J27" s="94"/>
      <c r="K27" s="94"/>
      <c r="L27" s="94"/>
      <c r="M27" s="94"/>
      <c r="N27" s="94"/>
      <c r="O27" s="94"/>
      <c r="P27" s="94"/>
      <c r="Q27" s="137"/>
      <c r="R27" s="334"/>
      <c r="S27" s="134"/>
      <c r="T27" s="131"/>
      <c r="U27" s="131"/>
      <c r="V27" s="129"/>
      <c r="W27" s="129"/>
      <c r="X27" s="129"/>
      <c r="Y27" s="129"/>
      <c r="Z27" s="129"/>
      <c r="AA27" s="129"/>
      <c r="AB27" s="129"/>
      <c r="AC27" s="129"/>
      <c r="AD27" s="127"/>
      <c r="AE27" s="127"/>
      <c r="AF27" s="127"/>
    </row>
    <row r="28" spans="1:32" s="33" customFormat="1" ht="14.25" customHeight="1">
      <c r="A28" s="116"/>
      <c r="B28" s="334"/>
      <c r="C28" s="232"/>
      <c r="D28" s="443" t="s">
        <v>53</v>
      </c>
      <c r="E28" s="94"/>
      <c r="F28" s="94"/>
      <c r="G28" s="94"/>
      <c r="H28" s="94"/>
      <c r="I28" s="94"/>
      <c r="J28" s="94"/>
      <c r="K28" s="94"/>
      <c r="L28" s="94"/>
      <c r="M28" s="94"/>
      <c r="N28" s="94"/>
      <c r="O28" s="94"/>
      <c r="P28" s="94"/>
      <c r="Q28" s="137"/>
      <c r="R28" s="334"/>
      <c r="S28" s="235"/>
      <c r="T28" s="229"/>
      <c r="U28" s="229"/>
      <c r="V28" s="230"/>
      <c r="W28" s="230"/>
      <c r="X28" s="230"/>
      <c r="Y28" s="230"/>
      <c r="Z28" s="230"/>
      <c r="AA28" s="230"/>
      <c r="AB28" s="230"/>
      <c r="AC28" s="230"/>
      <c r="AD28" s="127"/>
      <c r="AE28" s="127"/>
      <c r="AF28" s="127"/>
    </row>
    <row r="29" spans="1:32" s="28" customFormat="1" ht="17.25" customHeight="1">
      <c r="A29" s="117"/>
      <c r="B29" s="334"/>
      <c r="C29" s="138"/>
      <c r="D29" s="719" t="s">
        <v>0</v>
      </c>
      <c r="E29" s="720"/>
      <c r="F29" s="720"/>
      <c r="G29" s="720"/>
      <c r="H29" s="720"/>
      <c r="I29" s="720"/>
      <c r="J29" s="720"/>
      <c r="K29" s="720"/>
      <c r="L29" s="720"/>
      <c r="M29" s="720"/>
      <c r="N29" s="720"/>
      <c r="O29" s="720"/>
      <c r="P29" s="721"/>
      <c r="Q29" s="139"/>
      <c r="R29" s="334"/>
      <c r="S29" s="132" t="s">
        <v>0</v>
      </c>
      <c r="T29" s="131"/>
      <c r="U29" s="131"/>
      <c r="V29" s="350"/>
      <c r="W29" s="64"/>
      <c r="X29" s="64"/>
      <c r="Y29" s="64"/>
      <c r="Z29" s="64"/>
      <c r="AA29" s="64"/>
      <c r="AB29" s="64"/>
      <c r="AC29" s="64"/>
      <c r="AD29" s="130"/>
      <c r="AE29" s="130"/>
      <c r="AF29" s="130"/>
    </row>
    <row r="30" spans="1:32" s="33" customFormat="1" ht="14.25" customHeight="1">
      <c r="A30" s="116"/>
      <c r="B30" s="334"/>
      <c r="C30" s="232"/>
      <c r="D30" s="442" t="s">
        <v>60</v>
      </c>
      <c r="E30" s="159" t="s">
        <v>18</v>
      </c>
      <c r="F30" s="749" t="s">
        <v>19</v>
      </c>
      <c r="G30" s="749"/>
      <c r="H30" s="749"/>
      <c r="I30" s="749"/>
      <c r="J30" s="749"/>
      <c r="K30" s="749"/>
      <c r="L30" s="749"/>
      <c r="M30" s="749"/>
      <c r="N30" s="749"/>
      <c r="O30" s="749"/>
      <c r="P30" s="159" t="s">
        <v>20</v>
      </c>
      <c r="Q30" s="137"/>
      <c r="R30" s="334"/>
      <c r="S30" s="228"/>
      <c r="T30" s="229"/>
      <c r="U30" s="229"/>
      <c r="V30" s="230"/>
      <c r="W30" s="230"/>
      <c r="X30" s="230"/>
      <c r="Y30" s="230"/>
      <c r="Z30" s="230"/>
      <c r="AA30" s="230"/>
      <c r="AB30" s="230"/>
      <c r="AC30" s="230"/>
      <c r="AD30" s="127"/>
      <c r="AE30" s="127"/>
      <c r="AF30" s="127"/>
    </row>
    <row r="31" spans="1:32" s="28" customFormat="1" ht="15.75" customHeight="1">
      <c r="A31" s="117"/>
      <c r="B31" s="334"/>
      <c r="C31" s="138"/>
      <c r="D31" s="36" t="s">
        <v>0</v>
      </c>
      <c r="E31" s="30" t="s">
        <v>229</v>
      </c>
      <c r="F31" s="71">
        <v>1</v>
      </c>
      <c r="G31" s="72">
        <v>2</v>
      </c>
      <c r="H31" s="73">
        <v>3</v>
      </c>
      <c r="I31" s="74">
        <v>4</v>
      </c>
      <c r="J31" s="75">
        <v>5</v>
      </c>
      <c r="K31" s="76">
        <v>6</v>
      </c>
      <c r="L31" s="77">
        <v>7</v>
      </c>
      <c r="M31" s="78">
        <v>8</v>
      </c>
      <c r="N31" s="79">
        <v>9</v>
      </c>
      <c r="O31" s="80">
        <v>10</v>
      </c>
      <c r="P31" s="32" t="s">
        <v>15</v>
      </c>
      <c r="Q31" s="139"/>
      <c r="R31" s="334"/>
      <c r="S31" s="133">
        <f>VLOOKUP($E31,R.VL_DEQResourcesInvolved,2,FALSE)</f>
        <v>0</v>
      </c>
      <c r="T31" s="121">
        <f>VLOOKUP($E31,R.VL_DEQResourcesInvolved,3,FALSE)</f>
        <v>0</v>
      </c>
      <c r="U31" s="121">
        <f>IF(S31=10,T31,VLOOKUP($E31,R.VL_DEQResourcesInvolved,4,FALSE))</f>
        <v>0</v>
      </c>
      <c r="V31" s="575" t="s">
        <v>554</v>
      </c>
      <c r="W31" s="64"/>
      <c r="X31" s="64"/>
      <c r="Y31" s="64"/>
      <c r="Z31" s="64"/>
      <c r="AA31" s="64"/>
      <c r="AB31" s="64"/>
      <c r="AC31" s="64"/>
      <c r="AD31" s="130"/>
      <c r="AE31" s="130"/>
      <c r="AF31" s="130"/>
    </row>
    <row r="32" spans="1:32" s="28" customFormat="1" ht="15.75" hidden="1" customHeight="1" outlineLevel="1">
      <c r="A32" s="117"/>
      <c r="B32" s="334"/>
      <c r="C32" s="138"/>
      <c r="D32" s="36" t="s">
        <v>0</v>
      </c>
      <c r="E32" s="30" t="s">
        <v>229</v>
      </c>
      <c r="F32" s="71">
        <v>1</v>
      </c>
      <c r="G32" s="72">
        <v>2</v>
      </c>
      <c r="H32" s="73">
        <v>3</v>
      </c>
      <c r="I32" s="74">
        <v>4</v>
      </c>
      <c r="J32" s="75">
        <v>5</v>
      </c>
      <c r="K32" s="76">
        <v>6</v>
      </c>
      <c r="L32" s="77">
        <v>7</v>
      </c>
      <c r="M32" s="78">
        <v>8</v>
      </c>
      <c r="N32" s="79">
        <v>9</v>
      </c>
      <c r="O32" s="80">
        <v>10</v>
      </c>
      <c r="P32" s="32"/>
      <c r="Q32" s="139"/>
      <c r="R32" s="334"/>
      <c r="S32" s="133">
        <f>VLOOKUP($E32,R.VL_DEQResourcesInvolved,2,FALSE)</f>
        <v>0</v>
      </c>
      <c r="T32" s="121">
        <f>VLOOKUP($E32,R.VL_DEQResourcesInvolved,3,FALSE)</f>
        <v>0</v>
      </c>
      <c r="U32" s="121">
        <f>IF(S32=10,T32,VLOOKUP($E32,R.VL_DEQResourcesInvolved,4,FALSE))</f>
        <v>0</v>
      </c>
      <c r="V32" s="64"/>
      <c r="W32" s="64"/>
      <c r="X32" s="64"/>
      <c r="Y32" s="64"/>
      <c r="Z32" s="64"/>
      <c r="AA32" s="64"/>
      <c r="AB32" s="64"/>
      <c r="AC32" s="64"/>
      <c r="AD32" s="130"/>
      <c r="AE32" s="130"/>
      <c r="AF32" s="130"/>
    </row>
    <row r="33" spans="1:32" s="28" customFormat="1" ht="15.75" hidden="1" customHeight="1" outlineLevel="1">
      <c r="A33" s="117"/>
      <c r="B33" s="334"/>
      <c r="C33" s="138"/>
      <c r="D33" s="36" t="s">
        <v>0</v>
      </c>
      <c r="E33" s="30" t="s">
        <v>229</v>
      </c>
      <c r="F33" s="71">
        <v>1</v>
      </c>
      <c r="G33" s="72">
        <v>2</v>
      </c>
      <c r="H33" s="73">
        <v>3</v>
      </c>
      <c r="I33" s="74">
        <v>4</v>
      </c>
      <c r="J33" s="75">
        <v>5</v>
      </c>
      <c r="K33" s="76">
        <v>6</v>
      </c>
      <c r="L33" s="77">
        <v>7</v>
      </c>
      <c r="M33" s="78">
        <v>8</v>
      </c>
      <c r="N33" s="79">
        <v>9</v>
      </c>
      <c r="O33" s="80">
        <v>10</v>
      </c>
      <c r="P33" s="32"/>
      <c r="Q33" s="139"/>
      <c r="R33" s="334"/>
      <c r="S33" s="133">
        <f>VLOOKUP($E33,R.VL_DEQResourcesInvolved,2,FALSE)</f>
        <v>0</v>
      </c>
      <c r="T33" s="121">
        <f>VLOOKUP($E33,R.VL_DEQResourcesInvolved,3,FALSE)</f>
        <v>0</v>
      </c>
      <c r="U33" s="121">
        <f>IF(S33=10,T33,VLOOKUP($E33,R.VL_DEQResourcesInvolved,4,FALSE))</f>
        <v>0</v>
      </c>
      <c r="V33" s="64"/>
      <c r="W33" s="64"/>
      <c r="X33" s="64"/>
      <c r="Y33" s="64"/>
      <c r="Z33" s="64"/>
      <c r="AA33" s="64"/>
      <c r="AB33" s="64"/>
      <c r="AC33" s="64"/>
      <c r="AD33" s="130"/>
      <c r="AE33" s="130"/>
      <c r="AF33" s="130"/>
    </row>
    <row r="34" spans="1:32" s="28" customFormat="1" ht="15.75" hidden="1" customHeight="1" outlineLevel="1">
      <c r="A34" s="117"/>
      <c r="B34" s="334"/>
      <c r="C34" s="138"/>
      <c r="D34" s="36"/>
      <c r="E34" s="30" t="s">
        <v>229</v>
      </c>
      <c r="F34" s="71">
        <v>1</v>
      </c>
      <c r="G34" s="72">
        <v>2</v>
      </c>
      <c r="H34" s="73">
        <v>3</v>
      </c>
      <c r="I34" s="74">
        <v>4</v>
      </c>
      <c r="J34" s="75">
        <v>5</v>
      </c>
      <c r="K34" s="76">
        <v>6</v>
      </c>
      <c r="L34" s="77">
        <v>7</v>
      </c>
      <c r="M34" s="78">
        <v>8</v>
      </c>
      <c r="N34" s="79">
        <v>9</v>
      </c>
      <c r="O34" s="80">
        <v>10</v>
      </c>
      <c r="P34" s="32"/>
      <c r="Q34" s="139"/>
      <c r="R34" s="334"/>
      <c r="S34" s="133">
        <f>VLOOKUP($E34,R.VL_DEQResourcesInvolved,2,FALSE)</f>
        <v>0</v>
      </c>
      <c r="T34" s="121">
        <f>VLOOKUP($E34,R.VL_DEQResourcesInvolved,3,FALSE)</f>
        <v>0</v>
      </c>
      <c r="U34" s="121">
        <f>IF(S34=10,T34,VLOOKUP($E34,R.VL_DEQResourcesInvolved,4,FALSE))</f>
        <v>0</v>
      </c>
      <c r="V34" s="64"/>
      <c r="W34" s="64"/>
      <c r="X34" s="64"/>
      <c r="Y34" s="64"/>
      <c r="Z34" s="64"/>
      <c r="AA34" s="64"/>
      <c r="AB34" s="64"/>
      <c r="AC34" s="64"/>
      <c r="AD34" s="130"/>
      <c r="AE34" s="130"/>
      <c r="AF34" s="130"/>
    </row>
    <row r="35" spans="1:32" s="28" customFormat="1" ht="14.25" customHeight="1" collapsed="1">
      <c r="A35" s="117"/>
      <c r="B35" s="334"/>
      <c r="C35" s="245"/>
      <c r="D35" s="443" t="s">
        <v>52</v>
      </c>
      <c r="E35" s="31"/>
      <c r="F35" s="31"/>
      <c r="G35" s="31"/>
      <c r="H35" s="31"/>
      <c r="I35" s="31"/>
      <c r="J35" s="31"/>
      <c r="K35" s="31"/>
      <c r="L35" s="31"/>
      <c r="M35" s="31"/>
      <c r="N35" s="31"/>
      <c r="O35" s="31"/>
      <c r="P35" s="31"/>
      <c r="Q35" s="143"/>
      <c r="R35" s="334"/>
      <c r="S35" s="228"/>
      <c r="T35" s="229"/>
      <c r="U35" s="229"/>
      <c r="V35" s="236"/>
      <c r="W35" s="236"/>
      <c r="X35" s="236"/>
      <c r="Y35" s="236"/>
      <c r="Z35" s="236"/>
      <c r="AA35" s="236"/>
      <c r="AB35" s="236"/>
      <c r="AC35" s="236"/>
      <c r="AD35" s="130"/>
      <c r="AE35" s="130"/>
      <c r="AF35" s="130"/>
    </row>
    <row r="36" spans="1:32" s="28" customFormat="1" ht="15.75" customHeight="1">
      <c r="A36" s="117"/>
      <c r="B36" s="334"/>
      <c r="C36" s="138"/>
      <c r="D36" s="724"/>
      <c r="E36" s="725"/>
      <c r="F36" s="725"/>
      <c r="G36" s="725"/>
      <c r="H36" s="725"/>
      <c r="I36" s="725"/>
      <c r="J36" s="725"/>
      <c r="K36" s="725"/>
      <c r="L36" s="725"/>
      <c r="M36" s="725"/>
      <c r="N36" s="725"/>
      <c r="O36" s="725"/>
      <c r="P36" s="726"/>
      <c r="Q36" s="139"/>
      <c r="R36" s="334"/>
      <c r="S36" s="132" t="s">
        <v>0</v>
      </c>
      <c r="T36" s="131"/>
      <c r="U36" s="131"/>
      <c r="V36" s="64"/>
      <c r="W36" s="64"/>
      <c r="X36" s="64"/>
      <c r="Y36" s="64"/>
      <c r="Z36" s="64"/>
      <c r="AA36" s="64"/>
      <c r="AB36" s="64"/>
      <c r="AC36" s="64"/>
      <c r="AD36" s="130"/>
      <c r="AE36" s="130"/>
      <c r="AF36" s="130"/>
    </row>
    <row r="37" spans="1:32" s="33" customFormat="1" ht="14.25" customHeight="1">
      <c r="A37" s="116"/>
      <c r="B37" s="334"/>
      <c r="C37" s="232"/>
      <c r="D37" s="442" t="s">
        <v>60</v>
      </c>
      <c r="E37" s="159" t="s">
        <v>18</v>
      </c>
      <c r="F37" s="749" t="s">
        <v>19</v>
      </c>
      <c r="G37" s="749"/>
      <c r="H37" s="749"/>
      <c r="I37" s="749"/>
      <c r="J37" s="749"/>
      <c r="K37" s="749"/>
      <c r="L37" s="749"/>
      <c r="M37" s="749"/>
      <c r="N37" s="749"/>
      <c r="O37" s="749"/>
      <c r="P37" s="159" t="s">
        <v>20</v>
      </c>
      <c r="Q37" s="137"/>
      <c r="R37" s="334"/>
      <c r="S37" s="228"/>
      <c r="T37" s="229"/>
      <c r="U37" s="229"/>
      <c r="V37" s="230"/>
      <c r="W37" s="230"/>
      <c r="X37" s="230"/>
      <c r="Y37" s="230"/>
      <c r="Z37" s="230"/>
      <c r="AA37" s="230"/>
      <c r="AB37" s="230"/>
      <c r="AC37" s="230"/>
      <c r="AD37" s="127"/>
      <c r="AE37" s="127"/>
      <c r="AF37" s="127"/>
    </row>
    <row r="38" spans="1:32" s="28" customFormat="1" ht="15.75" customHeight="1">
      <c r="A38" s="117"/>
      <c r="B38" s="334"/>
      <c r="C38" s="138"/>
      <c r="D38" s="36"/>
      <c r="E38" s="30" t="s">
        <v>229</v>
      </c>
      <c r="F38" s="71">
        <v>1</v>
      </c>
      <c r="G38" s="72">
        <v>2</v>
      </c>
      <c r="H38" s="73">
        <v>3</v>
      </c>
      <c r="I38" s="74">
        <v>4</v>
      </c>
      <c r="J38" s="75">
        <v>5</v>
      </c>
      <c r="K38" s="76">
        <v>6</v>
      </c>
      <c r="L38" s="77">
        <v>7</v>
      </c>
      <c r="M38" s="78">
        <v>8</v>
      </c>
      <c r="N38" s="79">
        <v>9</v>
      </c>
      <c r="O38" s="80">
        <v>10</v>
      </c>
      <c r="P38" s="32"/>
      <c r="Q38" s="139"/>
      <c r="R38" s="334"/>
      <c r="S38" s="133">
        <f>VLOOKUP($E38,R.VL_DEQResourcesInvolved,2,FALSE)</f>
        <v>0</v>
      </c>
      <c r="T38" s="121">
        <f>VLOOKUP($E38,R.VL_DEQResourcesInvolved,3,FALSE)</f>
        <v>0</v>
      </c>
      <c r="U38" s="121">
        <f>IF(S38=10,T38,VLOOKUP($E38,R.VL_DEQResourcesInvolved,4,FALSE))</f>
        <v>0</v>
      </c>
      <c r="V38" s="575" t="s">
        <v>554</v>
      </c>
      <c r="W38" s="64"/>
      <c r="X38" s="64"/>
      <c r="Y38" s="64"/>
      <c r="Z38" s="64"/>
      <c r="AA38" s="64"/>
      <c r="AB38" s="64"/>
      <c r="AC38" s="64"/>
      <c r="AD38" s="130"/>
      <c r="AE38" s="130"/>
      <c r="AF38" s="130"/>
    </row>
    <row r="39" spans="1:32" s="28" customFormat="1" ht="15.75" hidden="1" customHeight="1" outlineLevel="1">
      <c r="A39" s="117"/>
      <c r="B39" s="334"/>
      <c r="C39" s="138"/>
      <c r="D39" s="36" t="s">
        <v>0</v>
      </c>
      <c r="E39" s="30" t="s">
        <v>229</v>
      </c>
      <c r="F39" s="71">
        <v>1</v>
      </c>
      <c r="G39" s="72">
        <v>2</v>
      </c>
      <c r="H39" s="73">
        <v>3</v>
      </c>
      <c r="I39" s="74">
        <v>4</v>
      </c>
      <c r="J39" s="75">
        <v>5</v>
      </c>
      <c r="K39" s="76">
        <v>6</v>
      </c>
      <c r="L39" s="77">
        <v>7</v>
      </c>
      <c r="M39" s="78">
        <v>8</v>
      </c>
      <c r="N39" s="79">
        <v>9</v>
      </c>
      <c r="O39" s="80">
        <v>10</v>
      </c>
      <c r="P39" s="32" t="s">
        <v>0</v>
      </c>
      <c r="Q39" s="139"/>
      <c r="R39" s="334"/>
      <c r="S39" s="133">
        <f>VLOOKUP($E39,R.VL_DEQResourcesInvolved,2,FALSE)</f>
        <v>0</v>
      </c>
      <c r="T39" s="121">
        <f>VLOOKUP($E39,R.VL_DEQResourcesInvolved,3,FALSE)</f>
        <v>0</v>
      </c>
      <c r="U39" s="121">
        <f>IF(S39=10,T39,VLOOKUP($E39,R.VL_DEQResourcesInvolved,4,FALSE))</f>
        <v>0</v>
      </c>
      <c r="V39" s="64"/>
      <c r="W39" s="64"/>
      <c r="X39" s="64"/>
      <c r="Y39" s="64"/>
      <c r="Z39" s="64"/>
      <c r="AA39" s="64"/>
      <c r="AB39" s="64"/>
      <c r="AC39" s="64"/>
      <c r="AD39" s="130"/>
      <c r="AE39" s="130"/>
      <c r="AF39" s="130"/>
    </row>
    <row r="40" spans="1:32" s="28" customFormat="1" ht="15.75" hidden="1" customHeight="1" outlineLevel="1">
      <c r="A40" s="117"/>
      <c r="B40" s="334"/>
      <c r="C40" s="138"/>
      <c r="D40" s="36" t="s">
        <v>0</v>
      </c>
      <c r="E40" s="30" t="s">
        <v>229</v>
      </c>
      <c r="F40" s="71">
        <v>1</v>
      </c>
      <c r="G40" s="72">
        <v>2</v>
      </c>
      <c r="H40" s="73">
        <v>3</v>
      </c>
      <c r="I40" s="74">
        <v>4</v>
      </c>
      <c r="J40" s="75">
        <v>5</v>
      </c>
      <c r="K40" s="76">
        <v>6</v>
      </c>
      <c r="L40" s="77">
        <v>7</v>
      </c>
      <c r="M40" s="78">
        <v>8</v>
      </c>
      <c r="N40" s="79">
        <v>9</v>
      </c>
      <c r="O40" s="80">
        <v>10</v>
      </c>
      <c r="P40" s="32" t="s">
        <v>0</v>
      </c>
      <c r="Q40" s="139"/>
      <c r="R40" s="334"/>
      <c r="S40" s="133">
        <f>VLOOKUP($E40,R.VL_DEQResourcesInvolved,2,FALSE)</f>
        <v>0</v>
      </c>
      <c r="T40" s="121">
        <f>VLOOKUP($E40,R.VL_DEQResourcesInvolved,3,FALSE)</f>
        <v>0</v>
      </c>
      <c r="U40" s="121">
        <f>IF(S40=10,T40,VLOOKUP($E40,R.VL_DEQResourcesInvolved,4,FALSE))</f>
        <v>0</v>
      </c>
      <c r="V40" s="64"/>
      <c r="W40" s="64"/>
      <c r="X40" s="64"/>
      <c r="Y40" s="64"/>
      <c r="Z40" s="64"/>
      <c r="AA40" s="64"/>
      <c r="AB40" s="64"/>
      <c r="AC40" s="64"/>
      <c r="AD40" s="130"/>
      <c r="AE40" s="130"/>
      <c r="AF40" s="130"/>
    </row>
    <row r="41" spans="1:32" s="28" customFormat="1" ht="15.75" hidden="1" customHeight="1" outlineLevel="1">
      <c r="A41" s="117"/>
      <c r="B41" s="334"/>
      <c r="C41" s="138"/>
      <c r="D41" s="36" t="s">
        <v>0</v>
      </c>
      <c r="E41" s="30" t="s">
        <v>229</v>
      </c>
      <c r="F41" s="71">
        <v>1</v>
      </c>
      <c r="G41" s="72">
        <v>2</v>
      </c>
      <c r="H41" s="73">
        <v>3</v>
      </c>
      <c r="I41" s="74">
        <v>4</v>
      </c>
      <c r="J41" s="75">
        <v>5</v>
      </c>
      <c r="K41" s="76">
        <v>6</v>
      </c>
      <c r="L41" s="77">
        <v>7</v>
      </c>
      <c r="M41" s="78">
        <v>8</v>
      </c>
      <c r="N41" s="79">
        <v>9</v>
      </c>
      <c r="O41" s="80">
        <v>10</v>
      </c>
      <c r="P41" s="32" t="s">
        <v>0</v>
      </c>
      <c r="Q41" s="139"/>
      <c r="R41" s="334"/>
      <c r="S41" s="133">
        <f>VLOOKUP($E41,R.VL_DEQResourcesInvolved,2,FALSE)</f>
        <v>0</v>
      </c>
      <c r="T41" s="121">
        <f>VLOOKUP($E41,R.VL_DEQResourcesInvolved,3,FALSE)</f>
        <v>0</v>
      </c>
      <c r="U41" s="121">
        <f>IF(S41=10,T41,VLOOKUP($E41,R.VL_DEQResourcesInvolved,4,FALSE))</f>
        <v>0</v>
      </c>
      <c r="V41" s="64"/>
      <c r="W41" s="64"/>
      <c r="X41" s="64"/>
      <c r="Y41" s="64"/>
      <c r="Z41" s="64"/>
      <c r="AA41" s="64"/>
      <c r="AB41" s="64"/>
      <c r="AC41" s="64"/>
      <c r="AD41" s="130"/>
      <c r="AE41" s="130"/>
      <c r="AF41" s="130"/>
    </row>
    <row r="42" spans="1:32" s="28" customFormat="1" ht="14.25" customHeight="1" collapsed="1">
      <c r="A42" s="117"/>
      <c r="B42" s="334"/>
      <c r="C42" s="376"/>
      <c r="D42" s="481"/>
      <c r="E42" s="739"/>
      <c r="F42" s="739"/>
      <c r="G42" s="739"/>
      <c r="H42" s="739"/>
      <c r="I42" s="739"/>
      <c r="J42" s="739"/>
      <c r="K42" s="739"/>
      <c r="L42" s="739"/>
      <c r="M42" s="739"/>
      <c r="N42" s="739"/>
      <c r="O42" s="739"/>
      <c r="P42" s="739"/>
      <c r="Q42" s="379"/>
      <c r="R42" s="334"/>
      <c r="S42" s="132"/>
      <c r="T42" s="131"/>
      <c r="U42" s="131"/>
      <c r="V42" s="64"/>
      <c r="W42" s="64"/>
      <c r="X42" s="64"/>
      <c r="Y42" s="64"/>
      <c r="Z42" s="64"/>
      <c r="AA42" s="64"/>
      <c r="AB42" s="64"/>
      <c r="AC42" s="64"/>
      <c r="AD42" s="130"/>
      <c r="AE42" s="130"/>
      <c r="AF42" s="130"/>
    </row>
    <row r="43" spans="1:32" s="33" customFormat="1" ht="30" customHeight="1">
      <c r="A43" s="350" t="s">
        <v>107</v>
      </c>
      <c r="B43" s="334"/>
      <c r="C43" s="483" t="s">
        <v>0</v>
      </c>
      <c r="D43" s="381" t="s">
        <v>138</v>
      </c>
      <c r="E43" s="382"/>
      <c r="F43" s="382"/>
      <c r="G43" s="382"/>
      <c r="H43" s="382"/>
      <c r="I43" s="382"/>
      <c r="J43" s="382"/>
      <c r="K43" s="382"/>
      <c r="L43" s="382"/>
      <c r="M43" s="382"/>
      <c r="N43" s="382"/>
      <c r="O43" s="382"/>
      <c r="P43" s="382"/>
      <c r="Q43" s="384"/>
      <c r="R43" s="334"/>
      <c r="S43" s="134"/>
      <c r="T43" s="131" t="s">
        <v>0</v>
      </c>
      <c r="U43" s="131"/>
      <c r="V43" s="129"/>
      <c r="W43" s="129"/>
      <c r="X43" s="129"/>
      <c r="Y43" s="129"/>
      <c r="Z43" s="129"/>
      <c r="AA43" s="129"/>
      <c r="AB43" s="129"/>
      <c r="AC43" s="129"/>
      <c r="AD43" s="127"/>
      <c r="AE43" s="127"/>
      <c r="AF43" s="127"/>
    </row>
    <row r="44" spans="1:32" s="33" customFormat="1" ht="14.25" customHeight="1">
      <c r="A44" s="116"/>
      <c r="B44" s="334"/>
      <c r="C44" s="232"/>
      <c r="D44" s="443" t="s">
        <v>53</v>
      </c>
      <c r="E44" s="94"/>
      <c r="F44" s="94"/>
      <c r="G44" s="94"/>
      <c r="H44" s="94"/>
      <c r="I44" s="94"/>
      <c r="J44" s="94"/>
      <c r="K44" s="94"/>
      <c r="L44" s="94"/>
      <c r="M44" s="94"/>
      <c r="N44" s="94"/>
      <c r="O44" s="94"/>
      <c r="P44" s="94"/>
      <c r="Q44" s="137"/>
      <c r="R44" s="334"/>
      <c r="S44" s="235"/>
      <c r="T44" s="229"/>
      <c r="U44" s="229"/>
      <c r="V44" s="230"/>
      <c r="W44" s="230"/>
      <c r="X44" s="230"/>
      <c r="Y44" s="230"/>
      <c r="Z44" s="230"/>
      <c r="AA44" s="230"/>
      <c r="AB44" s="230"/>
      <c r="AC44" s="230"/>
      <c r="AD44" s="127"/>
      <c r="AE44" s="127"/>
      <c r="AF44" s="127"/>
    </row>
    <row r="45" spans="1:32" s="28" customFormat="1" ht="15.75" customHeight="1">
      <c r="A45" s="117"/>
      <c r="B45" s="334"/>
      <c r="C45" s="138"/>
      <c r="D45" s="719" t="s">
        <v>607</v>
      </c>
      <c r="E45" s="720"/>
      <c r="F45" s="720"/>
      <c r="G45" s="720"/>
      <c r="H45" s="720"/>
      <c r="I45" s="720"/>
      <c r="J45" s="720"/>
      <c r="K45" s="720"/>
      <c r="L45" s="720"/>
      <c r="M45" s="720"/>
      <c r="N45" s="720"/>
      <c r="O45" s="720"/>
      <c r="P45" s="721"/>
      <c r="Q45" s="139"/>
      <c r="R45" s="334"/>
      <c r="S45" s="132" t="s">
        <v>0</v>
      </c>
      <c r="T45" s="131"/>
      <c r="U45" s="131"/>
      <c r="V45" s="64"/>
      <c r="W45" s="64"/>
      <c r="X45" s="64"/>
      <c r="Y45" s="64"/>
      <c r="Z45" s="64"/>
      <c r="AA45" s="64"/>
      <c r="AB45" s="64"/>
      <c r="AC45" s="64"/>
      <c r="AD45" s="130"/>
      <c r="AE45" s="130"/>
      <c r="AF45" s="130"/>
    </row>
    <row r="46" spans="1:32" s="33" customFormat="1" ht="14.25" customHeight="1">
      <c r="A46" s="116"/>
      <c r="B46" s="334"/>
      <c r="C46" s="233"/>
      <c r="D46" s="497" t="s">
        <v>60</v>
      </c>
      <c r="E46" s="393" t="s">
        <v>18</v>
      </c>
      <c r="F46" s="733" t="s">
        <v>19</v>
      </c>
      <c r="G46" s="733"/>
      <c r="H46" s="733"/>
      <c r="I46" s="733"/>
      <c r="J46" s="733"/>
      <c r="K46" s="733"/>
      <c r="L46" s="733"/>
      <c r="M46" s="733"/>
      <c r="N46" s="733"/>
      <c r="O46" s="733"/>
      <c r="P46" s="393" t="s">
        <v>20</v>
      </c>
      <c r="Q46" s="137"/>
      <c r="R46" s="334"/>
      <c r="S46" s="228"/>
      <c r="T46" s="229"/>
      <c r="U46" s="229"/>
      <c r="V46" s="230"/>
      <c r="W46" s="230"/>
      <c r="X46" s="230"/>
      <c r="Y46" s="230"/>
      <c r="Z46" s="230"/>
      <c r="AA46" s="230"/>
      <c r="AB46" s="230"/>
      <c r="AC46" s="230"/>
      <c r="AD46" s="127"/>
      <c r="AE46" s="127"/>
      <c r="AF46" s="127"/>
    </row>
    <row r="47" spans="1:32" s="28" customFormat="1" ht="15.75" customHeight="1">
      <c r="A47" s="117"/>
      <c r="B47" s="334"/>
      <c r="C47" s="138"/>
      <c r="D47" s="36"/>
      <c r="E47" s="30" t="s">
        <v>233</v>
      </c>
      <c r="F47" s="71">
        <v>1</v>
      </c>
      <c r="G47" s="72">
        <v>2</v>
      </c>
      <c r="H47" s="73">
        <v>3</v>
      </c>
      <c r="I47" s="74">
        <v>4</v>
      </c>
      <c r="J47" s="75">
        <v>5</v>
      </c>
      <c r="K47" s="76">
        <v>6</v>
      </c>
      <c r="L47" s="77">
        <v>7</v>
      </c>
      <c r="M47" s="78">
        <v>8</v>
      </c>
      <c r="N47" s="79">
        <v>9</v>
      </c>
      <c r="O47" s="80">
        <v>10</v>
      </c>
      <c r="P47" s="32"/>
      <c r="Q47" s="139"/>
      <c r="R47" s="334"/>
      <c r="S47" s="133">
        <f>VLOOKUP($E47,R.VL_DEQResourcesInvolved,2,FALSE)</f>
        <v>3</v>
      </c>
      <c r="T47" s="121">
        <f>VLOOKUP($E47,R.VL_DEQResourcesInvolved,3,FALSE)</f>
        <v>40</v>
      </c>
      <c r="U47" s="121">
        <f>IF(S47=10,T47,VLOOKUP($E47,R.VL_DEQResourcesInvolved,4,FALSE))</f>
        <v>80</v>
      </c>
      <c r="V47" s="575" t="s">
        <v>554</v>
      </c>
      <c r="W47" s="64"/>
      <c r="X47" s="64"/>
      <c r="Y47" s="64"/>
      <c r="Z47" s="64"/>
      <c r="AA47" s="64"/>
      <c r="AB47" s="64"/>
      <c r="AC47" s="64"/>
      <c r="AD47" s="130"/>
      <c r="AE47" s="130"/>
      <c r="AF47" s="130"/>
    </row>
    <row r="48" spans="1:32" s="28" customFormat="1" ht="15.75" hidden="1" customHeight="1" outlineLevel="1">
      <c r="A48" s="117"/>
      <c r="B48" s="334"/>
      <c r="C48" s="138"/>
      <c r="D48" s="36" t="s">
        <v>0</v>
      </c>
      <c r="E48" s="30" t="s">
        <v>229</v>
      </c>
      <c r="F48" s="71">
        <v>1</v>
      </c>
      <c r="G48" s="72">
        <v>2</v>
      </c>
      <c r="H48" s="73">
        <v>3</v>
      </c>
      <c r="I48" s="74">
        <v>4</v>
      </c>
      <c r="J48" s="75">
        <v>5</v>
      </c>
      <c r="K48" s="76">
        <v>6</v>
      </c>
      <c r="L48" s="77">
        <v>7</v>
      </c>
      <c r="M48" s="78">
        <v>8</v>
      </c>
      <c r="N48" s="79">
        <v>9</v>
      </c>
      <c r="O48" s="80">
        <v>10</v>
      </c>
      <c r="P48" s="32" t="s">
        <v>0</v>
      </c>
      <c r="Q48" s="139"/>
      <c r="R48" s="334"/>
      <c r="S48" s="133">
        <f>VLOOKUP($E48,R.VL_DEQResourcesInvolved,2,FALSE)</f>
        <v>0</v>
      </c>
      <c r="T48" s="121">
        <f>VLOOKUP($E48,R.VL_DEQResourcesInvolved,3,FALSE)</f>
        <v>0</v>
      </c>
      <c r="U48" s="121">
        <f>IF(S48=10,T48,VLOOKUP($E48,R.VL_DEQResourcesInvolved,4,FALSE))</f>
        <v>0</v>
      </c>
      <c r="V48" s="64"/>
      <c r="W48" s="64"/>
      <c r="X48" s="64"/>
      <c r="Y48" s="64"/>
      <c r="Z48" s="64"/>
      <c r="AA48" s="64"/>
      <c r="AB48" s="64"/>
      <c r="AC48" s="64"/>
      <c r="AD48" s="130"/>
      <c r="AE48" s="130"/>
      <c r="AF48" s="130"/>
    </row>
    <row r="49" spans="1:32" s="28" customFormat="1" ht="15.75" hidden="1" customHeight="1" outlineLevel="1">
      <c r="A49" s="117"/>
      <c r="B49" s="334"/>
      <c r="C49" s="138"/>
      <c r="D49" s="36" t="s">
        <v>0</v>
      </c>
      <c r="E49" s="30" t="s">
        <v>229</v>
      </c>
      <c r="F49" s="71">
        <v>1</v>
      </c>
      <c r="G49" s="72">
        <v>2</v>
      </c>
      <c r="H49" s="73">
        <v>3</v>
      </c>
      <c r="I49" s="74">
        <v>4</v>
      </c>
      <c r="J49" s="75">
        <v>5</v>
      </c>
      <c r="K49" s="76">
        <v>6</v>
      </c>
      <c r="L49" s="77">
        <v>7</v>
      </c>
      <c r="M49" s="78">
        <v>8</v>
      </c>
      <c r="N49" s="79">
        <v>9</v>
      </c>
      <c r="O49" s="80">
        <v>10</v>
      </c>
      <c r="P49" s="32" t="s">
        <v>0</v>
      </c>
      <c r="Q49" s="139"/>
      <c r="R49" s="334"/>
      <c r="S49" s="133">
        <f>VLOOKUP($E49,R.VL_DEQResourcesInvolved,2,FALSE)</f>
        <v>0</v>
      </c>
      <c r="T49" s="121">
        <f>VLOOKUP($E49,R.VL_DEQResourcesInvolved,3,FALSE)</f>
        <v>0</v>
      </c>
      <c r="U49" s="121">
        <f>IF(S49=10,T49,VLOOKUP($E49,R.VL_DEQResourcesInvolved,4,FALSE))</f>
        <v>0</v>
      </c>
      <c r="V49" s="64"/>
      <c r="W49" s="64"/>
      <c r="X49" s="64"/>
      <c r="Y49" s="64"/>
      <c r="Z49" s="64"/>
      <c r="AA49" s="64"/>
      <c r="AB49" s="64"/>
      <c r="AC49" s="64"/>
      <c r="AD49" s="130"/>
      <c r="AE49" s="130"/>
      <c r="AF49" s="130"/>
    </row>
    <row r="50" spans="1:32" s="28" customFormat="1" ht="15.75" hidden="1" customHeight="1" outlineLevel="1">
      <c r="A50" s="117"/>
      <c r="B50" s="334"/>
      <c r="C50" s="138"/>
      <c r="D50" s="36" t="s">
        <v>0</v>
      </c>
      <c r="E50" s="30" t="s">
        <v>229</v>
      </c>
      <c r="F50" s="71">
        <v>1</v>
      </c>
      <c r="G50" s="72">
        <v>2</v>
      </c>
      <c r="H50" s="73">
        <v>3</v>
      </c>
      <c r="I50" s="74">
        <v>4</v>
      </c>
      <c r="J50" s="75">
        <v>5</v>
      </c>
      <c r="K50" s="76">
        <v>6</v>
      </c>
      <c r="L50" s="77">
        <v>7</v>
      </c>
      <c r="M50" s="78">
        <v>8</v>
      </c>
      <c r="N50" s="79">
        <v>9</v>
      </c>
      <c r="O50" s="80">
        <v>10</v>
      </c>
      <c r="P50" s="32" t="s">
        <v>0</v>
      </c>
      <c r="Q50" s="139"/>
      <c r="R50" s="334"/>
      <c r="S50" s="133">
        <f>VLOOKUP($E50,R.VL_DEQResourcesInvolved,2,FALSE)</f>
        <v>0</v>
      </c>
      <c r="T50" s="121">
        <f>VLOOKUP($E50,R.VL_DEQResourcesInvolved,3,FALSE)</f>
        <v>0</v>
      </c>
      <c r="U50" s="121">
        <f>IF(S50=10,T50,VLOOKUP($E50,R.VL_DEQResourcesInvolved,4,FALSE))</f>
        <v>0</v>
      </c>
      <c r="V50" s="64"/>
      <c r="W50" s="64"/>
      <c r="X50" s="64"/>
      <c r="Y50" s="64"/>
      <c r="Z50" s="64"/>
      <c r="AA50" s="64"/>
      <c r="AB50" s="64"/>
      <c r="AC50" s="64"/>
      <c r="AD50" s="130"/>
      <c r="AE50" s="130"/>
      <c r="AF50" s="130"/>
    </row>
    <row r="51" spans="1:32" s="28" customFormat="1" ht="14.25" customHeight="1" collapsed="1">
      <c r="A51" s="117"/>
      <c r="B51" s="334"/>
      <c r="C51" s="245"/>
      <c r="D51" s="442" t="s">
        <v>52</v>
      </c>
      <c r="E51" s="31"/>
      <c r="F51" s="31"/>
      <c r="G51" s="31"/>
      <c r="H51" s="31"/>
      <c r="I51" s="31"/>
      <c r="J51" s="31"/>
      <c r="K51" s="31"/>
      <c r="L51" s="31"/>
      <c r="M51" s="31"/>
      <c r="N51" s="31"/>
      <c r="O51" s="31"/>
      <c r="P51" s="31"/>
      <c r="Q51" s="143"/>
      <c r="R51" s="334"/>
      <c r="S51" s="228"/>
      <c r="T51" s="229"/>
      <c r="U51" s="229"/>
      <c r="V51" s="236"/>
      <c r="W51" s="236"/>
      <c r="X51" s="236"/>
      <c r="Y51" s="236"/>
      <c r="Z51" s="236"/>
      <c r="AA51" s="236"/>
      <c r="AB51" s="236"/>
      <c r="AC51" s="236"/>
      <c r="AD51" s="130"/>
      <c r="AE51" s="130"/>
      <c r="AF51" s="130"/>
    </row>
    <row r="52" spans="1:32" s="28" customFormat="1" ht="15.75" customHeight="1">
      <c r="A52" s="117"/>
      <c r="B52" s="334"/>
      <c r="C52" s="138"/>
      <c r="D52" s="734"/>
      <c r="E52" s="735"/>
      <c r="F52" s="735"/>
      <c r="G52" s="735"/>
      <c r="H52" s="735"/>
      <c r="I52" s="735"/>
      <c r="J52" s="735"/>
      <c r="K52" s="735"/>
      <c r="L52" s="735"/>
      <c r="M52" s="735"/>
      <c r="N52" s="735"/>
      <c r="O52" s="735"/>
      <c r="P52" s="736"/>
      <c r="Q52" s="139"/>
      <c r="R52" s="334"/>
      <c r="S52" s="132" t="s">
        <v>0</v>
      </c>
      <c r="T52" s="131"/>
      <c r="U52" s="131"/>
      <c r="V52" s="64"/>
      <c r="W52" s="64"/>
      <c r="X52" s="64"/>
      <c r="Y52" s="64"/>
      <c r="Z52" s="64"/>
      <c r="AA52" s="64"/>
      <c r="AB52" s="64"/>
      <c r="AC52" s="64"/>
      <c r="AD52" s="130"/>
      <c r="AE52" s="130"/>
      <c r="AF52" s="130"/>
    </row>
    <row r="53" spans="1:32" s="33" customFormat="1" ht="14.25" customHeight="1">
      <c r="A53" s="116"/>
      <c r="B53" s="334"/>
      <c r="C53" s="232"/>
      <c r="D53" s="442" t="s">
        <v>60</v>
      </c>
      <c r="E53" s="292" t="s">
        <v>18</v>
      </c>
      <c r="F53" s="749" t="s">
        <v>19</v>
      </c>
      <c r="G53" s="749"/>
      <c r="H53" s="749"/>
      <c r="I53" s="749"/>
      <c r="J53" s="749"/>
      <c r="K53" s="749"/>
      <c r="L53" s="749"/>
      <c r="M53" s="749"/>
      <c r="N53" s="749"/>
      <c r="O53" s="749"/>
      <c r="P53" s="292" t="s">
        <v>20</v>
      </c>
      <c r="Q53" s="137"/>
      <c r="R53" s="334"/>
      <c r="S53" s="228"/>
      <c r="T53" s="229"/>
      <c r="U53" s="229"/>
      <c r="V53" s="230"/>
      <c r="W53" s="230"/>
      <c r="X53" s="230"/>
      <c r="Y53" s="230"/>
      <c r="Z53" s="230"/>
      <c r="AA53" s="230"/>
      <c r="AB53" s="230"/>
      <c r="AC53" s="230"/>
      <c r="AD53" s="127"/>
      <c r="AE53" s="127"/>
      <c r="AF53" s="127"/>
    </row>
    <row r="54" spans="1:32" s="28" customFormat="1" ht="15.75" customHeight="1">
      <c r="A54" s="117"/>
      <c r="B54" s="334"/>
      <c r="C54" s="138"/>
      <c r="D54" s="36"/>
      <c r="E54" s="30" t="s">
        <v>229</v>
      </c>
      <c r="F54" s="71">
        <v>1</v>
      </c>
      <c r="G54" s="72">
        <v>2</v>
      </c>
      <c r="H54" s="73">
        <v>3</v>
      </c>
      <c r="I54" s="74">
        <v>4</v>
      </c>
      <c r="J54" s="75">
        <v>5</v>
      </c>
      <c r="K54" s="76">
        <v>6</v>
      </c>
      <c r="L54" s="77">
        <v>7</v>
      </c>
      <c r="M54" s="78">
        <v>8</v>
      </c>
      <c r="N54" s="79">
        <v>9</v>
      </c>
      <c r="O54" s="80">
        <v>10</v>
      </c>
      <c r="P54" s="32"/>
      <c r="Q54" s="139"/>
      <c r="R54" s="334"/>
      <c r="S54" s="133">
        <f>VLOOKUP($E54,R.VL_DEQResourcesInvolved,2,FALSE)</f>
        <v>0</v>
      </c>
      <c r="T54" s="121">
        <f>VLOOKUP($E54,R.VL_DEQResourcesInvolved,3,FALSE)</f>
        <v>0</v>
      </c>
      <c r="U54" s="121">
        <f>IF(S54=10,T54,VLOOKUP($E54,R.VL_DEQResourcesInvolved,4,FALSE))</f>
        <v>0</v>
      </c>
      <c r="V54" s="575" t="s">
        <v>554</v>
      </c>
      <c r="W54" s="64"/>
      <c r="X54" s="64"/>
      <c r="Y54" s="64"/>
      <c r="Z54" s="64"/>
      <c r="AA54" s="64"/>
      <c r="AB54" s="64"/>
      <c r="AC54" s="64"/>
      <c r="AD54" s="130"/>
      <c r="AE54" s="130"/>
      <c r="AF54" s="130"/>
    </row>
    <row r="55" spans="1:32" s="28" customFormat="1" ht="15.75" hidden="1" customHeight="1" outlineLevel="1">
      <c r="A55" s="117"/>
      <c r="B55" s="334"/>
      <c r="C55" s="138"/>
      <c r="D55" s="36" t="s">
        <v>0</v>
      </c>
      <c r="E55" s="30" t="s">
        <v>229</v>
      </c>
      <c r="F55" s="71">
        <v>1</v>
      </c>
      <c r="G55" s="72">
        <v>2</v>
      </c>
      <c r="H55" s="73">
        <v>3</v>
      </c>
      <c r="I55" s="74">
        <v>4</v>
      </c>
      <c r="J55" s="75">
        <v>5</v>
      </c>
      <c r="K55" s="76">
        <v>6</v>
      </c>
      <c r="L55" s="77">
        <v>7</v>
      </c>
      <c r="M55" s="78">
        <v>8</v>
      </c>
      <c r="N55" s="79">
        <v>9</v>
      </c>
      <c r="O55" s="80">
        <v>10</v>
      </c>
      <c r="P55" s="32" t="s">
        <v>0</v>
      </c>
      <c r="Q55" s="139"/>
      <c r="R55" s="334"/>
      <c r="S55" s="133">
        <f>VLOOKUP($E55,R.VL_DEQResourcesInvolved,2,FALSE)</f>
        <v>0</v>
      </c>
      <c r="T55" s="121">
        <f>VLOOKUP($E55,R.VL_DEQResourcesInvolved,3,FALSE)</f>
        <v>0</v>
      </c>
      <c r="U55" s="121">
        <f>IF(S55=10,T55,VLOOKUP($E55,R.VL_DEQResourcesInvolved,4,FALSE))</f>
        <v>0</v>
      </c>
      <c r="V55" s="64"/>
      <c r="W55" s="64"/>
      <c r="X55" s="64"/>
      <c r="Y55" s="64"/>
      <c r="Z55" s="64"/>
      <c r="AA55" s="64"/>
      <c r="AB55" s="64"/>
      <c r="AC55" s="64"/>
      <c r="AD55" s="130"/>
      <c r="AE55" s="130"/>
      <c r="AF55" s="130"/>
    </row>
    <row r="56" spans="1:32" s="28" customFormat="1" ht="15.75" hidden="1" customHeight="1" outlineLevel="1">
      <c r="A56" s="117"/>
      <c r="B56" s="334"/>
      <c r="C56" s="138"/>
      <c r="D56" s="36" t="s">
        <v>0</v>
      </c>
      <c r="E56" s="30" t="s">
        <v>229</v>
      </c>
      <c r="F56" s="71">
        <v>1</v>
      </c>
      <c r="G56" s="72">
        <v>2</v>
      </c>
      <c r="H56" s="73">
        <v>3</v>
      </c>
      <c r="I56" s="74">
        <v>4</v>
      </c>
      <c r="J56" s="75">
        <v>5</v>
      </c>
      <c r="K56" s="76">
        <v>6</v>
      </c>
      <c r="L56" s="77">
        <v>7</v>
      </c>
      <c r="M56" s="78">
        <v>8</v>
      </c>
      <c r="N56" s="79">
        <v>9</v>
      </c>
      <c r="O56" s="80">
        <v>10</v>
      </c>
      <c r="P56" s="32" t="s">
        <v>0</v>
      </c>
      <c r="Q56" s="139"/>
      <c r="R56" s="334"/>
      <c r="S56" s="133">
        <f>VLOOKUP($E56,R.VL_DEQResourcesInvolved,2,FALSE)</f>
        <v>0</v>
      </c>
      <c r="T56" s="121">
        <f>VLOOKUP($E56,R.VL_DEQResourcesInvolved,3,FALSE)</f>
        <v>0</v>
      </c>
      <c r="U56" s="121">
        <f>IF(S56=10,T56,VLOOKUP($E56,R.VL_DEQResourcesInvolved,4,FALSE))</f>
        <v>0</v>
      </c>
      <c r="V56" s="64"/>
      <c r="W56" s="64"/>
      <c r="X56" s="64"/>
      <c r="Y56" s="64"/>
      <c r="Z56" s="64"/>
      <c r="AA56" s="64"/>
      <c r="AB56" s="64"/>
      <c r="AC56" s="64"/>
      <c r="AD56" s="130"/>
      <c r="AE56" s="130"/>
      <c r="AF56" s="130"/>
    </row>
    <row r="57" spans="1:32" s="28" customFormat="1" ht="15.75" hidden="1" customHeight="1" outlineLevel="1">
      <c r="A57" s="117"/>
      <c r="B57" s="334"/>
      <c r="C57" s="138"/>
      <c r="D57" s="36" t="s">
        <v>0</v>
      </c>
      <c r="E57" s="30" t="s">
        <v>229</v>
      </c>
      <c r="F57" s="71">
        <v>1</v>
      </c>
      <c r="G57" s="72">
        <v>2</v>
      </c>
      <c r="H57" s="73">
        <v>3</v>
      </c>
      <c r="I57" s="74">
        <v>4</v>
      </c>
      <c r="J57" s="75">
        <v>5</v>
      </c>
      <c r="K57" s="76">
        <v>6</v>
      </c>
      <c r="L57" s="77">
        <v>7</v>
      </c>
      <c r="M57" s="78">
        <v>8</v>
      </c>
      <c r="N57" s="79">
        <v>9</v>
      </c>
      <c r="O57" s="80">
        <v>10</v>
      </c>
      <c r="P57" s="32" t="s">
        <v>0</v>
      </c>
      <c r="Q57" s="139"/>
      <c r="R57" s="334"/>
      <c r="S57" s="133">
        <f>VLOOKUP($E57,R.VL_DEQResourcesInvolved,2,FALSE)</f>
        <v>0</v>
      </c>
      <c r="T57" s="121">
        <f>VLOOKUP($E57,R.VL_DEQResourcesInvolved,3,FALSE)</f>
        <v>0</v>
      </c>
      <c r="U57" s="121">
        <f>IF(S57=10,T57,VLOOKUP($E57,R.VL_DEQResourcesInvolved,4,FALSE))</f>
        <v>0</v>
      </c>
      <c r="V57" s="64"/>
      <c r="W57" s="64"/>
      <c r="X57" s="64"/>
      <c r="Y57" s="64"/>
      <c r="Z57" s="64"/>
      <c r="AA57" s="64"/>
      <c r="AB57" s="64"/>
      <c r="AC57" s="64"/>
      <c r="AD57" s="130"/>
      <c r="AE57" s="130"/>
      <c r="AF57" s="130"/>
    </row>
    <row r="58" spans="1:32" s="28" customFormat="1" ht="14.25" customHeight="1" collapsed="1">
      <c r="A58" s="117"/>
      <c r="B58" s="334"/>
      <c r="C58" s="376"/>
      <c r="D58" s="481"/>
      <c r="E58" s="739"/>
      <c r="F58" s="739"/>
      <c r="G58" s="739"/>
      <c r="H58" s="739"/>
      <c r="I58" s="739"/>
      <c r="J58" s="739"/>
      <c r="K58" s="739"/>
      <c r="L58" s="739"/>
      <c r="M58" s="739"/>
      <c r="N58" s="739"/>
      <c r="O58" s="739"/>
      <c r="P58" s="739"/>
      <c r="Q58" s="379"/>
      <c r="R58" s="334"/>
      <c r="S58" s="132"/>
      <c r="T58" s="131"/>
      <c r="U58" s="131"/>
      <c r="V58" s="64"/>
      <c r="W58" s="64"/>
      <c r="X58" s="64"/>
      <c r="Y58" s="64"/>
      <c r="Z58" s="64"/>
      <c r="AA58" s="64"/>
      <c r="AB58" s="64"/>
      <c r="AC58" s="64"/>
      <c r="AD58" s="130"/>
      <c r="AE58" s="130"/>
      <c r="AF58" s="130"/>
    </row>
    <row r="59" spans="1:32" s="29" customFormat="1" ht="30" customHeight="1">
      <c r="A59" s="118"/>
      <c r="B59" s="334"/>
      <c r="C59" s="146"/>
      <c r="D59" s="644" t="str">
        <f>"Please suggest process improvements to the "&amp;D2&amp;" worksheet."</f>
        <v>Please suggest process improvements to the Technical Services worksheet.</v>
      </c>
      <c r="E59" s="644"/>
      <c r="F59" s="644"/>
      <c r="G59" s="644"/>
      <c r="H59" s="644"/>
      <c r="I59" s="87"/>
      <c r="J59" s="88"/>
      <c r="K59" s="89"/>
      <c r="L59" s="90"/>
      <c r="M59" s="91"/>
      <c r="N59" s="92"/>
      <c r="O59" s="93"/>
      <c r="P59" s="39"/>
      <c r="Q59" s="147"/>
      <c r="R59" s="334"/>
      <c r="S59" s="134"/>
      <c r="T59" s="131"/>
      <c r="U59" s="131"/>
      <c r="V59" s="64"/>
      <c r="W59" s="64"/>
      <c r="X59" s="64"/>
      <c r="Y59" s="64"/>
      <c r="Z59" s="64"/>
      <c r="AA59" s="64"/>
      <c r="AB59" s="64"/>
      <c r="AC59" s="64"/>
      <c r="AD59" s="65"/>
      <c r="AE59" s="65"/>
      <c r="AF59" s="65"/>
    </row>
    <row r="60" spans="1:32" s="6" customFormat="1" ht="30.75" customHeight="1">
      <c r="A60" s="114"/>
      <c r="B60" s="334"/>
      <c r="C60" s="136"/>
      <c r="D60" s="641"/>
      <c r="E60" s="642"/>
      <c r="F60" s="642"/>
      <c r="G60" s="642"/>
      <c r="H60" s="642"/>
      <c r="I60" s="642"/>
      <c r="J60" s="642"/>
      <c r="K60" s="642"/>
      <c r="L60" s="642"/>
      <c r="M60" s="642"/>
      <c r="N60" s="642"/>
      <c r="O60" s="642"/>
      <c r="P60" s="643"/>
      <c r="Q60" s="148"/>
      <c r="R60" s="334"/>
      <c r="S60" s="132"/>
      <c r="T60" s="131"/>
      <c r="U60" s="131"/>
      <c r="V60" s="64"/>
      <c r="W60" s="64"/>
      <c r="X60" s="64"/>
      <c r="Y60" s="64"/>
      <c r="Z60" s="64"/>
      <c r="AA60" s="64"/>
      <c r="AB60" s="64"/>
      <c r="AC60" s="64"/>
      <c r="AD60" s="66"/>
      <c r="AE60" s="66"/>
      <c r="AF60" s="66"/>
    </row>
    <row r="61" spans="1:32" ht="18" customHeight="1">
      <c r="A61" s="350" t="s">
        <v>108</v>
      </c>
      <c r="B61" s="334"/>
      <c r="C61" s="149"/>
      <c r="D61" s="150"/>
      <c r="E61" s="150"/>
      <c r="F61" s="150"/>
      <c r="G61" s="150"/>
      <c r="H61" s="150"/>
      <c r="I61" s="150"/>
      <c r="J61" s="150"/>
      <c r="K61" s="150"/>
      <c r="L61" s="150"/>
      <c r="M61" s="150"/>
      <c r="N61" s="150"/>
      <c r="O61" s="150"/>
      <c r="P61" s="150"/>
      <c r="Q61" s="151"/>
      <c r="R61" s="334"/>
    </row>
    <row r="62" spans="1:32" s="64" customFormat="1" ht="14.25">
      <c r="B62" s="334"/>
      <c r="C62" s="334"/>
      <c r="D62" s="334"/>
      <c r="E62" s="334"/>
      <c r="F62" s="334"/>
      <c r="G62" s="334"/>
      <c r="H62" s="334"/>
      <c r="I62" s="334"/>
      <c r="J62" s="334"/>
      <c r="K62" s="334"/>
      <c r="L62" s="334"/>
      <c r="M62" s="334"/>
      <c r="N62" s="334"/>
      <c r="O62" s="334"/>
      <c r="P62" s="334"/>
      <c r="Q62" s="334"/>
      <c r="R62" s="334"/>
      <c r="S62" s="113"/>
    </row>
    <row r="63" spans="1:32" s="64" customFormat="1">
      <c r="C63" s="112"/>
      <c r="S63" s="113"/>
    </row>
    <row r="64" spans="1:32" s="64" customFormat="1">
      <c r="C64" s="112"/>
      <c r="S64" s="113"/>
    </row>
    <row r="65" spans="3:19" s="64" customFormat="1">
      <c r="C65" s="112"/>
      <c r="S65" s="113"/>
    </row>
    <row r="66" spans="3:19" s="64" customFormat="1">
      <c r="C66" s="112"/>
      <c r="S66" s="113"/>
    </row>
    <row r="67" spans="3:19" s="64" customFormat="1">
      <c r="C67" s="112"/>
      <c r="S67" s="113"/>
    </row>
    <row r="68" spans="3:19" s="64" customFormat="1">
      <c r="C68" s="112"/>
      <c r="S68" s="113"/>
    </row>
    <row r="69" spans="3:19" s="64" customFormat="1">
      <c r="C69" s="112"/>
      <c r="S69" s="113"/>
    </row>
    <row r="70" spans="3:19" s="64" customFormat="1">
      <c r="C70" s="112"/>
      <c r="S70" s="113"/>
    </row>
  </sheetData>
  <sheetProtection sheet="1" scenarios="1" formatCells="0" formatRows="0" insertHyperlinks="0"/>
  <mergeCells count="26">
    <mergeCell ref="D60:P60"/>
    <mergeCell ref="D29:P29"/>
    <mergeCell ref="D36:P36"/>
    <mergeCell ref="E42:P42"/>
    <mergeCell ref="D45:P45"/>
    <mergeCell ref="F46:O46"/>
    <mergeCell ref="D52:P52"/>
    <mergeCell ref="F30:O30"/>
    <mergeCell ref="F37:O37"/>
    <mergeCell ref="F53:O53"/>
    <mergeCell ref="D59:H59"/>
    <mergeCell ref="E58:P58"/>
    <mergeCell ref="E2:P2"/>
    <mergeCell ref="M3:P3"/>
    <mergeCell ref="F4:L4"/>
    <mergeCell ref="M4:P4"/>
    <mergeCell ref="D7:P7"/>
    <mergeCell ref="E26:P26"/>
    <mergeCell ref="F21:O21"/>
    <mergeCell ref="D20:P20"/>
    <mergeCell ref="F5:L5"/>
    <mergeCell ref="M5:P5"/>
    <mergeCell ref="D8:P8"/>
    <mergeCell ref="D9:P9"/>
    <mergeCell ref="D13:P13"/>
    <mergeCell ref="F14:O14"/>
  </mergeCells>
  <conditionalFormatting sqref="F26:O27 F61:O61 I59:O59">
    <cfRule type="colorScale" priority="220">
      <colorScale>
        <cfvo type="num" val="0"/>
        <cfvo type="num" val="5"/>
        <cfvo type="num" val="10"/>
        <color rgb="FF00B050"/>
        <color rgb="FFFFFF00"/>
        <color rgb="FFFF0000"/>
      </colorScale>
    </cfRule>
  </conditionalFormatting>
  <conditionalFormatting sqref="N26:N27 N59 N61">
    <cfRule type="expression" dxfId="1539" priority="219" stopIfTrue="1">
      <formula>IF($S26&lt;9,TRUE,)</formula>
    </cfRule>
  </conditionalFormatting>
  <conditionalFormatting sqref="M26:M27 M59 M61">
    <cfRule type="expression" dxfId="1538" priority="218" stopIfTrue="1">
      <formula>IF($S26&lt;8,TRUE,)</formula>
    </cfRule>
  </conditionalFormatting>
  <conditionalFormatting sqref="L26:L27 L59 L61">
    <cfRule type="expression" dxfId="1537" priority="217" stopIfTrue="1">
      <formula>IF($S26&lt;7,TRUE,)</formula>
    </cfRule>
  </conditionalFormatting>
  <conditionalFormatting sqref="K26:K27 K59 K61">
    <cfRule type="expression" dxfId="1536" priority="216" stopIfTrue="1">
      <formula>IF($S26&lt;6,TRUE,)</formula>
    </cfRule>
  </conditionalFormatting>
  <conditionalFormatting sqref="J26:J27 J59 J61">
    <cfRule type="expression" dxfId="1535" priority="215" stopIfTrue="1">
      <formula>IF($S26&lt;5,TRUE,)</formula>
    </cfRule>
  </conditionalFormatting>
  <conditionalFormatting sqref="I26:I27 I59 I61">
    <cfRule type="expression" dxfId="1534" priority="214" stopIfTrue="1">
      <formula>IF($S26&lt;4,TRUE,)</formula>
    </cfRule>
  </conditionalFormatting>
  <conditionalFormatting sqref="H26:H27 H61">
    <cfRule type="expression" dxfId="1533" priority="213" stopIfTrue="1">
      <formula>IF($S26&lt;3,TRUE,)</formula>
    </cfRule>
  </conditionalFormatting>
  <conditionalFormatting sqref="G26:G27 G61">
    <cfRule type="expression" dxfId="1532" priority="212" stopIfTrue="1">
      <formula>IF($S26&lt;2,TRUE,)</formula>
    </cfRule>
  </conditionalFormatting>
  <conditionalFormatting sqref="F26:F27 F61">
    <cfRule type="expression" dxfId="1531" priority="211" stopIfTrue="1">
      <formula>IF($S26&lt;1,TRUE,)</formula>
    </cfRule>
  </conditionalFormatting>
  <conditionalFormatting sqref="O26:O27 O59 O61">
    <cfRule type="expression" dxfId="1530" priority="210" stopIfTrue="1">
      <formula>IF($S26&lt;10,TRUE,)</formula>
    </cfRule>
  </conditionalFormatting>
  <conditionalFormatting sqref="F15:O16">
    <cfRule type="colorScale" priority="209">
      <colorScale>
        <cfvo type="num" val="0"/>
        <cfvo type="num" val="5"/>
        <cfvo type="num" val="10"/>
        <color rgb="FF00B050"/>
        <color rgb="FFFFFF00"/>
        <color rgb="FFFF0000"/>
      </colorScale>
    </cfRule>
  </conditionalFormatting>
  <conditionalFormatting sqref="N15:N16">
    <cfRule type="expression" dxfId="1529" priority="208" stopIfTrue="1">
      <formula>IF($S15&lt;9,TRUE,)</formula>
    </cfRule>
  </conditionalFormatting>
  <conditionalFormatting sqref="M15:M16">
    <cfRule type="expression" dxfId="1528" priority="207" stopIfTrue="1">
      <formula>IF($S15&lt;8,TRUE,)</formula>
    </cfRule>
  </conditionalFormatting>
  <conditionalFormatting sqref="L15:L16">
    <cfRule type="expression" dxfId="1527" priority="206" stopIfTrue="1">
      <formula>IF($S15&lt;7,TRUE,)</formula>
    </cfRule>
  </conditionalFormatting>
  <conditionalFormatting sqref="K15:K16">
    <cfRule type="expression" dxfId="1526" priority="205" stopIfTrue="1">
      <formula>IF($S15&lt;6,TRUE,)</formula>
    </cfRule>
  </conditionalFormatting>
  <conditionalFormatting sqref="J15:J16">
    <cfRule type="expression" dxfId="1525" priority="204" stopIfTrue="1">
      <formula>IF($S15&lt;5,TRUE,)</formula>
    </cfRule>
  </conditionalFormatting>
  <conditionalFormatting sqref="I15:I16">
    <cfRule type="expression" dxfId="1524" priority="203" stopIfTrue="1">
      <formula>IF($S15&lt;4,TRUE,)</formula>
    </cfRule>
  </conditionalFormatting>
  <conditionalFormatting sqref="H15:H16">
    <cfRule type="expression" dxfId="1523" priority="202" stopIfTrue="1">
      <formula>IF($S15&lt;3,TRUE,)</formula>
    </cfRule>
  </conditionalFormatting>
  <conditionalFormatting sqref="G15:G16">
    <cfRule type="expression" dxfId="1522" priority="201" stopIfTrue="1">
      <formula>IF($S15&lt;2,TRUE,)</formula>
    </cfRule>
  </conditionalFormatting>
  <conditionalFormatting sqref="F15:F16">
    <cfRule type="expression" dxfId="1521" priority="200" stopIfTrue="1">
      <formula>IF($S15&lt;1,TRUE,)</formula>
    </cfRule>
  </conditionalFormatting>
  <conditionalFormatting sqref="O15:O16">
    <cfRule type="expression" dxfId="1520" priority="199" stopIfTrue="1">
      <formula>IF($S15&lt;10,TRUE,)</formula>
    </cfRule>
  </conditionalFormatting>
  <conditionalFormatting sqref="F22:O23">
    <cfRule type="colorScale" priority="198">
      <colorScale>
        <cfvo type="num" val="0"/>
        <cfvo type="num" val="5"/>
        <cfvo type="num" val="10"/>
        <color rgb="FF00B050"/>
        <color rgb="FFFFFF00"/>
        <color rgb="FFFF0000"/>
      </colorScale>
    </cfRule>
  </conditionalFormatting>
  <conditionalFormatting sqref="N22:N23">
    <cfRule type="expression" dxfId="1519" priority="197" stopIfTrue="1">
      <formula>IF($S22&lt;9,TRUE,)</formula>
    </cfRule>
  </conditionalFormatting>
  <conditionalFormatting sqref="M22:M23">
    <cfRule type="expression" dxfId="1518" priority="196" stopIfTrue="1">
      <formula>IF($S22&lt;8,TRUE,)</formula>
    </cfRule>
  </conditionalFormatting>
  <conditionalFormatting sqref="L22:L23">
    <cfRule type="expression" dxfId="1517" priority="195" stopIfTrue="1">
      <formula>IF($S22&lt;7,TRUE,)</formula>
    </cfRule>
  </conditionalFormatting>
  <conditionalFormatting sqref="K22:K23">
    <cfRule type="expression" dxfId="1516" priority="194" stopIfTrue="1">
      <formula>IF($S22&lt;6,TRUE,)</formula>
    </cfRule>
  </conditionalFormatting>
  <conditionalFormatting sqref="J22:J23">
    <cfRule type="expression" dxfId="1515" priority="193" stopIfTrue="1">
      <formula>IF($S22&lt;5,TRUE,)</formula>
    </cfRule>
  </conditionalFormatting>
  <conditionalFormatting sqref="I22:I23">
    <cfRule type="expression" dxfId="1514" priority="192" stopIfTrue="1">
      <formula>IF($S22&lt;4,TRUE,)</formula>
    </cfRule>
  </conditionalFormatting>
  <conditionalFormatting sqref="H22:H23">
    <cfRule type="expression" dxfId="1513" priority="191" stopIfTrue="1">
      <formula>IF($S22&lt;3,TRUE,)</formula>
    </cfRule>
  </conditionalFormatting>
  <conditionalFormatting sqref="G22:G23">
    <cfRule type="expression" dxfId="1512" priority="190" stopIfTrue="1">
      <formula>IF($S22&lt;2,TRUE,)</formula>
    </cfRule>
  </conditionalFormatting>
  <conditionalFormatting sqref="F22:F23">
    <cfRule type="expression" dxfId="1511" priority="189" stopIfTrue="1">
      <formula>IF($S22&lt;1,TRUE,)</formula>
    </cfRule>
  </conditionalFormatting>
  <conditionalFormatting sqref="O22:O23">
    <cfRule type="expression" dxfId="1510" priority="188" stopIfTrue="1">
      <formula>IF($S22&lt;10,TRUE,)</formula>
    </cfRule>
  </conditionalFormatting>
  <conditionalFormatting sqref="F42:O42">
    <cfRule type="colorScale" priority="187">
      <colorScale>
        <cfvo type="num" val="0"/>
        <cfvo type="num" val="5"/>
        <cfvo type="num" val="10"/>
        <color rgb="FF00B050"/>
        <color rgb="FFFFFF00"/>
        <color rgb="FFFF0000"/>
      </colorScale>
    </cfRule>
  </conditionalFormatting>
  <conditionalFormatting sqref="N42">
    <cfRule type="expression" dxfId="1509" priority="186" stopIfTrue="1">
      <formula>IF($S42&lt;9,TRUE,)</formula>
    </cfRule>
  </conditionalFormatting>
  <conditionalFormatting sqref="M42">
    <cfRule type="expression" dxfId="1508" priority="185" stopIfTrue="1">
      <formula>IF($S42&lt;8,TRUE,)</formula>
    </cfRule>
  </conditionalFormatting>
  <conditionalFormatting sqref="L42">
    <cfRule type="expression" dxfId="1507" priority="184" stopIfTrue="1">
      <formula>IF($S42&lt;7,TRUE,)</formula>
    </cfRule>
  </conditionalFormatting>
  <conditionalFormatting sqref="K42">
    <cfRule type="expression" dxfId="1506" priority="183" stopIfTrue="1">
      <formula>IF($S42&lt;6,TRUE,)</formula>
    </cfRule>
  </conditionalFormatting>
  <conditionalFormatting sqref="J42">
    <cfRule type="expression" dxfId="1505" priority="182" stopIfTrue="1">
      <formula>IF($S42&lt;5,TRUE,)</formula>
    </cfRule>
  </conditionalFormatting>
  <conditionalFormatting sqref="I42">
    <cfRule type="expression" dxfId="1504" priority="181" stopIfTrue="1">
      <formula>IF($S42&lt;4,TRUE,)</formula>
    </cfRule>
  </conditionalFormatting>
  <conditionalFormatting sqref="H42">
    <cfRule type="expression" dxfId="1503" priority="180" stopIfTrue="1">
      <formula>IF($S42&lt;3,TRUE,)</formula>
    </cfRule>
  </conditionalFormatting>
  <conditionalFormatting sqref="G42">
    <cfRule type="expression" dxfId="1502" priority="179" stopIfTrue="1">
      <formula>IF($S42&lt;2,TRUE,)</formula>
    </cfRule>
  </conditionalFormatting>
  <conditionalFormatting sqref="F42">
    <cfRule type="expression" dxfId="1501" priority="178" stopIfTrue="1">
      <formula>IF($S42&lt;1,TRUE,)</formula>
    </cfRule>
  </conditionalFormatting>
  <conditionalFormatting sqref="O42">
    <cfRule type="expression" dxfId="1500" priority="177" stopIfTrue="1">
      <formula>IF($S42&lt;10,TRUE,)</formula>
    </cfRule>
  </conditionalFormatting>
  <conditionalFormatting sqref="F31:O32">
    <cfRule type="colorScale" priority="176">
      <colorScale>
        <cfvo type="num" val="0"/>
        <cfvo type="num" val="5"/>
        <cfvo type="num" val="10"/>
        <color rgb="FF00B050"/>
        <color rgb="FFFFFF00"/>
        <color rgb="FFFF0000"/>
      </colorScale>
    </cfRule>
  </conditionalFormatting>
  <conditionalFormatting sqref="N31:N32">
    <cfRule type="expression" dxfId="1499" priority="175" stopIfTrue="1">
      <formula>IF($S31&lt;9,TRUE,)</formula>
    </cfRule>
  </conditionalFormatting>
  <conditionalFormatting sqref="M31:M32">
    <cfRule type="expression" dxfId="1498" priority="174" stopIfTrue="1">
      <formula>IF($S31&lt;8,TRUE,)</formula>
    </cfRule>
  </conditionalFormatting>
  <conditionalFormatting sqref="L31:L32">
    <cfRule type="expression" dxfId="1497" priority="173" stopIfTrue="1">
      <formula>IF($S31&lt;7,TRUE,)</formula>
    </cfRule>
  </conditionalFormatting>
  <conditionalFormatting sqref="K31:K32">
    <cfRule type="expression" dxfId="1496" priority="172" stopIfTrue="1">
      <formula>IF($S31&lt;6,TRUE,)</formula>
    </cfRule>
  </conditionalFormatting>
  <conditionalFormatting sqref="J31:J32">
    <cfRule type="expression" dxfId="1495" priority="171" stopIfTrue="1">
      <formula>IF($S31&lt;5,TRUE,)</formula>
    </cfRule>
  </conditionalFormatting>
  <conditionalFormatting sqref="I31:I32">
    <cfRule type="expression" dxfId="1494" priority="170" stopIfTrue="1">
      <formula>IF($S31&lt;4,TRUE,)</formula>
    </cfRule>
  </conditionalFormatting>
  <conditionalFormatting sqref="H31:H32">
    <cfRule type="expression" dxfId="1493" priority="169" stopIfTrue="1">
      <formula>IF($S31&lt;3,TRUE,)</formula>
    </cfRule>
  </conditionalFormatting>
  <conditionalFormatting sqref="G31:G32">
    <cfRule type="expression" dxfId="1492" priority="168" stopIfTrue="1">
      <formula>IF($S31&lt;2,TRUE,)</formula>
    </cfRule>
  </conditionalFormatting>
  <conditionalFormatting sqref="F31:F32">
    <cfRule type="expression" dxfId="1491" priority="167" stopIfTrue="1">
      <formula>IF($S31&lt;1,TRUE,)</formula>
    </cfRule>
  </conditionalFormatting>
  <conditionalFormatting sqref="O31:O32">
    <cfRule type="expression" dxfId="1490" priority="166" stopIfTrue="1">
      <formula>IF($S31&lt;10,TRUE,)</formula>
    </cfRule>
  </conditionalFormatting>
  <conditionalFormatting sqref="F38:O39">
    <cfRule type="colorScale" priority="165">
      <colorScale>
        <cfvo type="num" val="0"/>
        <cfvo type="num" val="5"/>
        <cfvo type="num" val="10"/>
        <color rgb="FF00B050"/>
        <color rgb="FFFFFF00"/>
        <color rgb="FFFF0000"/>
      </colorScale>
    </cfRule>
  </conditionalFormatting>
  <conditionalFormatting sqref="N38:N39">
    <cfRule type="expression" dxfId="1489" priority="164" stopIfTrue="1">
      <formula>IF($S38&lt;9,TRUE,)</formula>
    </cfRule>
  </conditionalFormatting>
  <conditionalFormatting sqref="M38:M39">
    <cfRule type="expression" dxfId="1488" priority="163" stopIfTrue="1">
      <formula>IF($S38&lt;8,TRUE,)</formula>
    </cfRule>
  </conditionalFormatting>
  <conditionalFormatting sqref="L38:L39">
    <cfRule type="expression" dxfId="1487" priority="162" stopIfTrue="1">
      <formula>IF($S38&lt;7,TRUE,)</formula>
    </cfRule>
  </conditionalFormatting>
  <conditionalFormatting sqref="K38:K39">
    <cfRule type="expression" dxfId="1486" priority="161" stopIfTrue="1">
      <formula>IF($S38&lt;6,TRUE,)</formula>
    </cfRule>
  </conditionalFormatting>
  <conditionalFormatting sqref="J38:J39">
    <cfRule type="expression" dxfId="1485" priority="160" stopIfTrue="1">
      <formula>IF($S38&lt;5,TRUE,)</formula>
    </cfRule>
  </conditionalFormatting>
  <conditionalFormatting sqref="I38:I39">
    <cfRule type="expression" dxfId="1484" priority="159" stopIfTrue="1">
      <formula>IF($S38&lt;4,TRUE,)</formula>
    </cfRule>
  </conditionalFormatting>
  <conditionalFormatting sqref="H38:H39">
    <cfRule type="expression" dxfId="1483" priority="158" stopIfTrue="1">
      <formula>IF($S38&lt;3,TRUE,)</formula>
    </cfRule>
  </conditionalFormatting>
  <conditionalFormatting sqref="G38:G39">
    <cfRule type="expression" dxfId="1482" priority="157" stopIfTrue="1">
      <formula>IF($S38&lt;2,TRUE,)</formula>
    </cfRule>
  </conditionalFormatting>
  <conditionalFormatting sqref="F38:F39">
    <cfRule type="expression" dxfId="1481" priority="156" stopIfTrue="1">
      <formula>IF($S38&lt;1,TRUE,)</formula>
    </cfRule>
  </conditionalFormatting>
  <conditionalFormatting sqref="O38:O39">
    <cfRule type="expression" dxfId="1480" priority="155" stopIfTrue="1">
      <formula>IF($S38&lt;10,TRUE,)</formula>
    </cfRule>
  </conditionalFormatting>
  <conditionalFormatting sqref="F17:O18">
    <cfRule type="colorScale" priority="154">
      <colorScale>
        <cfvo type="num" val="0"/>
        <cfvo type="num" val="5"/>
        <cfvo type="num" val="10"/>
        <color rgb="FF00B050"/>
        <color rgb="FFFFFF00"/>
        <color rgb="FFFF0000"/>
      </colorScale>
    </cfRule>
  </conditionalFormatting>
  <conditionalFormatting sqref="N17:N18">
    <cfRule type="expression" dxfId="1479" priority="153" stopIfTrue="1">
      <formula>IF($S17&lt;9,TRUE,)</formula>
    </cfRule>
  </conditionalFormatting>
  <conditionalFormatting sqref="M17:M18">
    <cfRule type="expression" dxfId="1478" priority="152" stopIfTrue="1">
      <formula>IF($S17&lt;8,TRUE,)</formula>
    </cfRule>
  </conditionalFormatting>
  <conditionalFormatting sqref="L17:L18">
    <cfRule type="expression" dxfId="1477" priority="151" stopIfTrue="1">
      <formula>IF($S17&lt;7,TRUE,)</formula>
    </cfRule>
  </conditionalFormatting>
  <conditionalFormatting sqref="K17:K18">
    <cfRule type="expression" dxfId="1476" priority="150" stopIfTrue="1">
      <formula>IF($S17&lt;6,TRUE,)</formula>
    </cfRule>
  </conditionalFormatting>
  <conditionalFormatting sqref="J17:J18">
    <cfRule type="expression" dxfId="1475" priority="149" stopIfTrue="1">
      <formula>IF($S17&lt;5,TRUE,)</formula>
    </cfRule>
  </conditionalFormatting>
  <conditionalFormatting sqref="I17:I18">
    <cfRule type="expression" dxfId="1474" priority="148" stopIfTrue="1">
      <formula>IF($S17&lt;4,TRUE,)</formula>
    </cfRule>
  </conditionalFormatting>
  <conditionalFormatting sqref="H17:H18">
    <cfRule type="expression" dxfId="1473" priority="147" stopIfTrue="1">
      <formula>IF($S17&lt;3,TRUE,)</formula>
    </cfRule>
  </conditionalFormatting>
  <conditionalFormatting sqref="G17:G18">
    <cfRule type="expression" dxfId="1472" priority="146" stopIfTrue="1">
      <formula>IF($S17&lt;2,TRUE,)</formula>
    </cfRule>
  </conditionalFormatting>
  <conditionalFormatting sqref="F17:F18">
    <cfRule type="expression" dxfId="1471" priority="145" stopIfTrue="1">
      <formula>IF($S17&lt;1,TRUE,)</formula>
    </cfRule>
  </conditionalFormatting>
  <conditionalFormatting sqref="O17:O18">
    <cfRule type="expression" dxfId="1470" priority="144" stopIfTrue="1">
      <formula>IF($S17&lt;10,TRUE,)</formula>
    </cfRule>
  </conditionalFormatting>
  <conditionalFormatting sqref="F24:O25">
    <cfRule type="colorScale" priority="143">
      <colorScale>
        <cfvo type="num" val="0"/>
        <cfvo type="num" val="5"/>
        <cfvo type="num" val="10"/>
        <color rgb="FF00B050"/>
        <color rgb="FFFFFF00"/>
        <color rgb="FFFF0000"/>
      </colorScale>
    </cfRule>
  </conditionalFormatting>
  <conditionalFormatting sqref="N24:N25">
    <cfRule type="expression" dxfId="1469" priority="142" stopIfTrue="1">
      <formula>IF($S24&lt;9,TRUE,)</formula>
    </cfRule>
  </conditionalFormatting>
  <conditionalFormatting sqref="M24:M25">
    <cfRule type="expression" dxfId="1468" priority="141" stopIfTrue="1">
      <formula>IF($S24&lt;8,TRUE,)</formula>
    </cfRule>
  </conditionalFormatting>
  <conditionalFormatting sqref="L24:L25">
    <cfRule type="expression" dxfId="1467" priority="140" stopIfTrue="1">
      <formula>IF($S24&lt;7,TRUE,)</formula>
    </cfRule>
  </conditionalFormatting>
  <conditionalFormatting sqref="K24:K25">
    <cfRule type="expression" dxfId="1466" priority="139" stopIfTrue="1">
      <formula>IF($S24&lt;6,TRUE,)</formula>
    </cfRule>
  </conditionalFormatting>
  <conditionalFormatting sqref="J24:J25">
    <cfRule type="expression" dxfId="1465" priority="138" stopIfTrue="1">
      <formula>IF($S24&lt;5,TRUE,)</formula>
    </cfRule>
  </conditionalFormatting>
  <conditionalFormatting sqref="I24:I25">
    <cfRule type="expression" dxfId="1464" priority="137" stopIfTrue="1">
      <formula>IF($S24&lt;4,TRUE,)</formula>
    </cfRule>
  </conditionalFormatting>
  <conditionalFormatting sqref="H24:H25">
    <cfRule type="expression" dxfId="1463" priority="136" stopIfTrue="1">
      <formula>IF($S24&lt;3,TRUE,)</formula>
    </cfRule>
  </conditionalFormatting>
  <conditionalFormatting sqref="G24:G25">
    <cfRule type="expression" dxfId="1462" priority="135" stopIfTrue="1">
      <formula>IF($S24&lt;2,TRUE,)</formula>
    </cfRule>
  </conditionalFormatting>
  <conditionalFormatting sqref="F24:F25">
    <cfRule type="expression" dxfId="1461" priority="134" stopIfTrue="1">
      <formula>IF($S24&lt;1,TRUE,)</formula>
    </cfRule>
  </conditionalFormatting>
  <conditionalFormatting sqref="O24:O25">
    <cfRule type="expression" dxfId="1460" priority="133" stopIfTrue="1">
      <formula>IF($S24&lt;10,TRUE,)</formula>
    </cfRule>
  </conditionalFormatting>
  <conditionalFormatting sqref="F33:O34">
    <cfRule type="colorScale" priority="132">
      <colorScale>
        <cfvo type="num" val="0"/>
        <cfvo type="num" val="5"/>
        <cfvo type="num" val="10"/>
        <color rgb="FF00B050"/>
        <color rgb="FFFFFF00"/>
        <color rgb="FFFF0000"/>
      </colorScale>
    </cfRule>
  </conditionalFormatting>
  <conditionalFormatting sqref="N33:N34">
    <cfRule type="expression" dxfId="1459" priority="131" stopIfTrue="1">
      <formula>IF($S33&lt;9,TRUE,)</formula>
    </cfRule>
  </conditionalFormatting>
  <conditionalFormatting sqref="M33:M34">
    <cfRule type="expression" dxfId="1458" priority="130" stopIfTrue="1">
      <formula>IF($S33&lt;8,TRUE,)</formula>
    </cfRule>
  </conditionalFormatting>
  <conditionalFormatting sqref="L33:L34">
    <cfRule type="expression" dxfId="1457" priority="129" stopIfTrue="1">
      <formula>IF($S33&lt;7,TRUE,)</formula>
    </cfRule>
  </conditionalFormatting>
  <conditionalFormatting sqref="K33:K34">
    <cfRule type="expression" dxfId="1456" priority="128" stopIfTrue="1">
      <formula>IF($S33&lt;6,TRUE,)</formula>
    </cfRule>
  </conditionalFormatting>
  <conditionalFormatting sqref="J33:J34">
    <cfRule type="expression" dxfId="1455" priority="127" stopIfTrue="1">
      <formula>IF($S33&lt;5,TRUE,)</formula>
    </cfRule>
  </conditionalFormatting>
  <conditionalFormatting sqref="I33:I34">
    <cfRule type="expression" dxfId="1454" priority="126" stopIfTrue="1">
      <formula>IF($S33&lt;4,TRUE,)</formula>
    </cfRule>
  </conditionalFormatting>
  <conditionalFormatting sqref="H33:H34">
    <cfRule type="expression" dxfId="1453" priority="125" stopIfTrue="1">
      <formula>IF($S33&lt;3,TRUE,)</formula>
    </cfRule>
  </conditionalFormatting>
  <conditionalFormatting sqref="G33:G34">
    <cfRule type="expression" dxfId="1452" priority="124" stopIfTrue="1">
      <formula>IF($S33&lt;2,TRUE,)</formula>
    </cfRule>
  </conditionalFormatting>
  <conditionalFormatting sqref="F33:F34">
    <cfRule type="expression" dxfId="1451" priority="123" stopIfTrue="1">
      <formula>IF($S33&lt;1,TRUE,)</formula>
    </cfRule>
  </conditionalFormatting>
  <conditionalFormatting sqref="O33:O34">
    <cfRule type="expression" dxfId="1450" priority="122" stopIfTrue="1">
      <formula>IF($S33&lt;10,TRUE,)</formula>
    </cfRule>
  </conditionalFormatting>
  <conditionalFormatting sqref="F40:O41">
    <cfRule type="colorScale" priority="121">
      <colorScale>
        <cfvo type="num" val="0"/>
        <cfvo type="num" val="5"/>
        <cfvo type="num" val="10"/>
        <color rgb="FF00B050"/>
        <color rgb="FFFFFF00"/>
        <color rgb="FFFF0000"/>
      </colorScale>
    </cfRule>
  </conditionalFormatting>
  <conditionalFormatting sqref="N40:N41">
    <cfRule type="expression" dxfId="1449" priority="120" stopIfTrue="1">
      <formula>IF($S40&lt;9,TRUE,)</formula>
    </cfRule>
  </conditionalFormatting>
  <conditionalFormatting sqref="M40:M41">
    <cfRule type="expression" dxfId="1448" priority="119" stopIfTrue="1">
      <formula>IF($S40&lt;8,TRUE,)</formula>
    </cfRule>
  </conditionalFormatting>
  <conditionalFormatting sqref="L40:L41">
    <cfRule type="expression" dxfId="1447" priority="118" stopIfTrue="1">
      <formula>IF($S40&lt;7,TRUE,)</formula>
    </cfRule>
  </conditionalFormatting>
  <conditionalFormatting sqref="K40:K41">
    <cfRule type="expression" dxfId="1446" priority="117" stopIfTrue="1">
      <formula>IF($S40&lt;6,TRUE,)</formula>
    </cfRule>
  </conditionalFormatting>
  <conditionalFormatting sqref="J40:J41">
    <cfRule type="expression" dxfId="1445" priority="116" stopIfTrue="1">
      <formula>IF($S40&lt;5,TRUE,)</formula>
    </cfRule>
  </conditionalFormatting>
  <conditionalFormatting sqref="I40:I41">
    <cfRule type="expression" dxfId="1444" priority="115" stopIfTrue="1">
      <formula>IF($S40&lt;4,TRUE,)</formula>
    </cfRule>
  </conditionalFormatting>
  <conditionalFormatting sqref="H40:H41">
    <cfRule type="expression" dxfId="1443" priority="114" stopIfTrue="1">
      <formula>IF($S40&lt;3,TRUE,)</formula>
    </cfRule>
  </conditionalFormatting>
  <conditionalFormatting sqref="G40:G41">
    <cfRule type="expression" dxfId="1442" priority="113" stopIfTrue="1">
      <formula>IF($S40&lt;2,TRUE,)</formula>
    </cfRule>
  </conditionalFormatting>
  <conditionalFormatting sqref="F40:F41">
    <cfRule type="expression" dxfId="1441" priority="112" stopIfTrue="1">
      <formula>IF($S40&lt;1,TRUE,)</formula>
    </cfRule>
  </conditionalFormatting>
  <conditionalFormatting sqref="O40:O41">
    <cfRule type="expression" dxfId="1440" priority="111" stopIfTrue="1">
      <formula>IF($S40&lt;10,TRUE,)</formula>
    </cfRule>
  </conditionalFormatting>
  <conditionalFormatting sqref="F58:O58">
    <cfRule type="colorScale" priority="110">
      <colorScale>
        <cfvo type="num" val="0"/>
        <cfvo type="num" val="5"/>
        <cfvo type="num" val="10"/>
        <color rgb="FF00B050"/>
        <color rgb="FFFFFF00"/>
        <color rgb="FFFF0000"/>
      </colorScale>
    </cfRule>
  </conditionalFormatting>
  <conditionalFormatting sqref="N58">
    <cfRule type="expression" dxfId="1439" priority="109" stopIfTrue="1">
      <formula>IF($S58&lt;9,TRUE,)</formula>
    </cfRule>
  </conditionalFormatting>
  <conditionalFormatting sqref="M58">
    <cfRule type="expression" dxfId="1438" priority="108" stopIfTrue="1">
      <formula>IF($S58&lt;8,TRUE,)</formula>
    </cfRule>
  </conditionalFormatting>
  <conditionalFormatting sqref="L58">
    <cfRule type="expression" dxfId="1437" priority="107" stopIfTrue="1">
      <formula>IF($S58&lt;7,TRUE,)</formula>
    </cfRule>
  </conditionalFormatting>
  <conditionalFormatting sqref="K58">
    <cfRule type="expression" dxfId="1436" priority="106" stopIfTrue="1">
      <formula>IF($S58&lt;6,TRUE,)</formula>
    </cfRule>
  </conditionalFormatting>
  <conditionalFormatting sqref="J58">
    <cfRule type="expression" dxfId="1435" priority="105" stopIfTrue="1">
      <formula>IF($S58&lt;5,TRUE,)</formula>
    </cfRule>
  </conditionalFormatting>
  <conditionalFormatting sqref="I58">
    <cfRule type="expression" dxfId="1434" priority="104" stopIfTrue="1">
      <formula>IF($S58&lt;4,TRUE,)</formula>
    </cfRule>
  </conditionalFormatting>
  <conditionalFormatting sqref="H58">
    <cfRule type="expression" dxfId="1433" priority="103" stopIfTrue="1">
      <formula>IF($S58&lt;3,TRUE,)</formula>
    </cfRule>
  </conditionalFormatting>
  <conditionalFormatting sqref="G58">
    <cfRule type="expression" dxfId="1432" priority="102" stopIfTrue="1">
      <formula>IF($S58&lt;2,TRUE,)</formula>
    </cfRule>
  </conditionalFormatting>
  <conditionalFormatting sqref="F58">
    <cfRule type="expression" dxfId="1431" priority="101" stopIfTrue="1">
      <formula>IF($S58&lt;1,TRUE,)</formula>
    </cfRule>
  </conditionalFormatting>
  <conditionalFormatting sqref="O58">
    <cfRule type="expression" dxfId="1430" priority="100" stopIfTrue="1">
      <formula>IF($S58&lt;10,TRUE,)</formula>
    </cfRule>
  </conditionalFormatting>
  <conditionalFormatting sqref="F47:O48">
    <cfRule type="colorScale" priority="99">
      <colorScale>
        <cfvo type="num" val="0"/>
        <cfvo type="num" val="5"/>
        <cfvo type="num" val="10"/>
        <color rgb="FF00B050"/>
        <color rgb="FFFFFF00"/>
        <color rgb="FFFF0000"/>
      </colorScale>
    </cfRule>
  </conditionalFormatting>
  <conditionalFormatting sqref="N47:N48">
    <cfRule type="expression" dxfId="1429" priority="98" stopIfTrue="1">
      <formula>IF($S47&lt;9,TRUE,)</formula>
    </cfRule>
  </conditionalFormatting>
  <conditionalFormatting sqref="M47:M48">
    <cfRule type="expression" dxfId="1428" priority="97" stopIfTrue="1">
      <formula>IF($S47&lt;8,TRUE,)</formula>
    </cfRule>
  </conditionalFormatting>
  <conditionalFormatting sqref="L47:L48">
    <cfRule type="expression" dxfId="1427" priority="96" stopIfTrue="1">
      <formula>IF($S47&lt;7,TRUE,)</formula>
    </cfRule>
  </conditionalFormatting>
  <conditionalFormatting sqref="K47:K48">
    <cfRule type="expression" dxfId="1426" priority="95" stopIfTrue="1">
      <formula>IF($S47&lt;6,TRUE,)</formula>
    </cfRule>
  </conditionalFormatting>
  <conditionalFormatting sqref="J47:J48">
    <cfRule type="expression" dxfId="1425" priority="94" stopIfTrue="1">
      <formula>IF($S47&lt;5,TRUE,)</formula>
    </cfRule>
  </conditionalFormatting>
  <conditionalFormatting sqref="I47:I48">
    <cfRule type="expression" dxfId="1424" priority="93" stopIfTrue="1">
      <formula>IF($S47&lt;4,TRUE,)</formula>
    </cfRule>
  </conditionalFormatting>
  <conditionalFormatting sqref="H47:H48">
    <cfRule type="expression" dxfId="1423" priority="92" stopIfTrue="1">
      <formula>IF($S47&lt;3,TRUE,)</formula>
    </cfRule>
  </conditionalFormatting>
  <conditionalFormatting sqref="G47:G48">
    <cfRule type="expression" dxfId="1422" priority="91" stopIfTrue="1">
      <formula>IF($S47&lt;2,TRUE,)</formula>
    </cfRule>
  </conditionalFormatting>
  <conditionalFormatting sqref="F47:F48">
    <cfRule type="expression" dxfId="1421" priority="90" stopIfTrue="1">
      <formula>IF($S47&lt;1,TRUE,)</formula>
    </cfRule>
  </conditionalFormatting>
  <conditionalFormatting sqref="O47:O48">
    <cfRule type="expression" dxfId="1420" priority="89" stopIfTrue="1">
      <formula>IF($S47&lt;10,TRUE,)</formula>
    </cfRule>
  </conditionalFormatting>
  <conditionalFormatting sqref="F54:O55">
    <cfRule type="colorScale" priority="88">
      <colorScale>
        <cfvo type="num" val="0"/>
        <cfvo type="num" val="5"/>
        <cfvo type="num" val="10"/>
        <color rgb="FF00B050"/>
        <color rgb="FFFFFF00"/>
        <color rgb="FFFF0000"/>
      </colorScale>
    </cfRule>
  </conditionalFormatting>
  <conditionalFormatting sqref="N54:N55">
    <cfRule type="expression" dxfId="1419" priority="87" stopIfTrue="1">
      <formula>IF($S54&lt;9,TRUE,)</formula>
    </cfRule>
  </conditionalFormatting>
  <conditionalFormatting sqref="M54:M55">
    <cfRule type="expression" dxfId="1418" priority="86" stopIfTrue="1">
      <formula>IF($S54&lt;8,TRUE,)</formula>
    </cfRule>
  </conditionalFormatting>
  <conditionalFormatting sqref="L54:L55">
    <cfRule type="expression" dxfId="1417" priority="85" stopIfTrue="1">
      <formula>IF($S54&lt;7,TRUE,)</formula>
    </cfRule>
  </conditionalFormatting>
  <conditionalFormatting sqref="K54:K55">
    <cfRule type="expression" dxfId="1416" priority="84" stopIfTrue="1">
      <formula>IF($S54&lt;6,TRUE,)</formula>
    </cfRule>
  </conditionalFormatting>
  <conditionalFormatting sqref="J54:J55">
    <cfRule type="expression" dxfId="1415" priority="83" stopIfTrue="1">
      <formula>IF($S54&lt;5,TRUE,)</formula>
    </cfRule>
  </conditionalFormatting>
  <conditionalFormatting sqref="I54:I55">
    <cfRule type="expression" dxfId="1414" priority="82" stopIfTrue="1">
      <formula>IF($S54&lt;4,TRUE,)</formula>
    </cfRule>
  </conditionalFormatting>
  <conditionalFormatting sqref="H54:H55">
    <cfRule type="expression" dxfId="1413" priority="81" stopIfTrue="1">
      <formula>IF($S54&lt;3,TRUE,)</formula>
    </cfRule>
  </conditionalFormatting>
  <conditionalFormatting sqref="G54:G55">
    <cfRule type="expression" dxfId="1412" priority="80" stopIfTrue="1">
      <formula>IF($S54&lt;2,TRUE,)</formula>
    </cfRule>
  </conditionalFormatting>
  <conditionalFormatting sqref="F54:F55">
    <cfRule type="expression" dxfId="1411" priority="79" stopIfTrue="1">
      <formula>IF($S54&lt;1,TRUE,)</formula>
    </cfRule>
  </conditionalFormatting>
  <conditionalFormatting sqref="O54:O55">
    <cfRule type="expression" dxfId="1410" priority="78" stopIfTrue="1">
      <formula>IF($S54&lt;10,TRUE,)</formula>
    </cfRule>
  </conditionalFormatting>
  <conditionalFormatting sqref="F49:O50">
    <cfRule type="colorScale" priority="77">
      <colorScale>
        <cfvo type="num" val="0"/>
        <cfvo type="num" val="5"/>
        <cfvo type="num" val="10"/>
        <color rgb="FF00B050"/>
        <color rgb="FFFFFF00"/>
        <color rgb="FFFF0000"/>
      </colorScale>
    </cfRule>
  </conditionalFormatting>
  <conditionalFormatting sqref="N49:N50">
    <cfRule type="expression" dxfId="1409" priority="76" stopIfTrue="1">
      <formula>IF($S49&lt;9,TRUE,)</formula>
    </cfRule>
  </conditionalFormatting>
  <conditionalFormatting sqref="M49:M50">
    <cfRule type="expression" dxfId="1408" priority="75" stopIfTrue="1">
      <formula>IF($S49&lt;8,TRUE,)</formula>
    </cfRule>
  </conditionalFormatting>
  <conditionalFormatting sqref="L49:L50">
    <cfRule type="expression" dxfId="1407" priority="74" stopIfTrue="1">
      <formula>IF($S49&lt;7,TRUE,)</formula>
    </cfRule>
  </conditionalFormatting>
  <conditionalFormatting sqref="K49:K50">
    <cfRule type="expression" dxfId="1406" priority="73" stopIfTrue="1">
      <formula>IF($S49&lt;6,TRUE,)</formula>
    </cfRule>
  </conditionalFormatting>
  <conditionalFormatting sqref="J49:J50">
    <cfRule type="expression" dxfId="1405" priority="72" stopIfTrue="1">
      <formula>IF($S49&lt;5,TRUE,)</formula>
    </cfRule>
  </conditionalFormatting>
  <conditionalFormatting sqref="I49:I50">
    <cfRule type="expression" dxfId="1404" priority="71" stopIfTrue="1">
      <formula>IF($S49&lt;4,TRUE,)</formula>
    </cfRule>
  </conditionalFormatting>
  <conditionalFormatting sqref="H49:H50">
    <cfRule type="expression" dxfId="1403" priority="70" stopIfTrue="1">
      <formula>IF($S49&lt;3,TRUE,)</formula>
    </cfRule>
  </conditionalFormatting>
  <conditionalFormatting sqref="G49:G50">
    <cfRule type="expression" dxfId="1402" priority="69" stopIfTrue="1">
      <formula>IF($S49&lt;2,TRUE,)</formula>
    </cfRule>
  </conditionalFormatting>
  <conditionalFormatting sqref="F49:F50">
    <cfRule type="expression" dxfId="1401" priority="68" stopIfTrue="1">
      <formula>IF($S49&lt;1,TRUE,)</formula>
    </cfRule>
  </conditionalFormatting>
  <conditionalFormatting sqref="O49:O50">
    <cfRule type="expression" dxfId="1400" priority="67" stopIfTrue="1">
      <formula>IF($S49&lt;10,TRUE,)</formula>
    </cfRule>
  </conditionalFormatting>
  <conditionalFormatting sqref="F56:O57">
    <cfRule type="colorScale" priority="66">
      <colorScale>
        <cfvo type="num" val="0"/>
        <cfvo type="num" val="5"/>
        <cfvo type="num" val="10"/>
        <color rgb="FF00B050"/>
        <color rgb="FFFFFF00"/>
        <color rgb="FFFF0000"/>
      </colorScale>
    </cfRule>
  </conditionalFormatting>
  <conditionalFormatting sqref="N56:N57">
    <cfRule type="expression" dxfId="1399" priority="65" stopIfTrue="1">
      <formula>IF($S56&lt;9,TRUE,)</formula>
    </cfRule>
  </conditionalFormatting>
  <conditionalFormatting sqref="M56:M57">
    <cfRule type="expression" dxfId="1398" priority="64" stopIfTrue="1">
      <formula>IF($S56&lt;8,TRUE,)</formula>
    </cfRule>
  </conditionalFormatting>
  <conditionalFormatting sqref="L56:L57">
    <cfRule type="expression" dxfId="1397" priority="63" stopIfTrue="1">
      <formula>IF($S56&lt;7,TRUE,)</formula>
    </cfRule>
  </conditionalFormatting>
  <conditionalFormatting sqref="K56:K57">
    <cfRule type="expression" dxfId="1396" priority="62" stopIfTrue="1">
      <formula>IF($S56&lt;6,TRUE,)</formula>
    </cfRule>
  </conditionalFormatting>
  <conditionalFormatting sqref="J56:J57">
    <cfRule type="expression" dxfId="1395" priority="61" stopIfTrue="1">
      <formula>IF($S56&lt;5,TRUE,)</formula>
    </cfRule>
  </conditionalFormatting>
  <conditionalFormatting sqref="I56:I57">
    <cfRule type="expression" dxfId="1394" priority="60" stopIfTrue="1">
      <formula>IF($S56&lt;4,TRUE,)</formula>
    </cfRule>
  </conditionalFormatting>
  <conditionalFormatting sqref="H56:H57">
    <cfRule type="expression" dxfId="1393" priority="59" stopIfTrue="1">
      <formula>IF($S56&lt;3,TRUE,)</formula>
    </cfRule>
  </conditionalFormatting>
  <conditionalFormatting sqref="G56:G57">
    <cfRule type="expression" dxfId="1392" priority="58" stopIfTrue="1">
      <formula>IF($S56&lt;2,TRUE,)</formula>
    </cfRule>
  </conditionalFormatting>
  <conditionalFormatting sqref="F56:F57">
    <cfRule type="expression" dxfId="1391" priority="57" stopIfTrue="1">
      <formula>IF($S56&lt;1,TRUE,)</formula>
    </cfRule>
  </conditionalFormatting>
  <conditionalFormatting sqref="O56:O57">
    <cfRule type="expression" dxfId="1390" priority="56" stopIfTrue="1">
      <formula>IF($S56&lt;10,TRUE,)</formula>
    </cfRule>
  </conditionalFormatting>
  <conditionalFormatting sqref="F58:O58">
    <cfRule type="colorScale" priority="55">
      <colorScale>
        <cfvo type="num" val="0"/>
        <cfvo type="num" val="5"/>
        <cfvo type="num" val="10"/>
        <color rgb="FF00B050"/>
        <color rgb="FFFFFF00"/>
        <color rgb="FFFF0000"/>
      </colorScale>
    </cfRule>
  </conditionalFormatting>
  <conditionalFormatting sqref="N58">
    <cfRule type="expression" dxfId="1389" priority="54" stopIfTrue="1">
      <formula>IF($S58&lt;9,TRUE,)</formula>
    </cfRule>
  </conditionalFormatting>
  <conditionalFormatting sqref="M58">
    <cfRule type="expression" dxfId="1388" priority="53" stopIfTrue="1">
      <formula>IF($S58&lt;8,TRUE,)</formula>
    </cfRule>
  </conditionalFormatting>
  <conditionalFormatting sqref="L58">
    <cfRule type="expression" dxfId="1387" priority="52" stopIfTrue="1">
      <formula>IF($S58&lt;7,TRUE,)</formula>
    </cfRule>
  </conditionalFormatting>
  <conditionalFormatting sqref="K58">
    <cfRule type="expression" dxfId="1386" priority="51" stopIfTrue="1">
      <formula>IF($S58&lt;6,TRUE,)</formula>
    </cfRule>
  </conditionalFormatting>
  <conditionalFormatting sqref="J58">
    <cfRule type="expression" dxfId="1385" priority="50" stopIfTrue="1">
      <formula>IF($S58&lt;5,TRUE,)</formula>
    </cfRule>
  </conditionalFormatting>
  <conditionalFormatting sqref="I58">
    <cfRule type="expression" dxfId="1384" priority="49" stopIfTrue="1">
      <formula>IF($S58&lt;4,TRUE,)</formula>
    </cfRule>
  </conditionalFormatting>
  <conditionalFormatting sqref="H58">
    <cfRule type="expression" dxfId="1383" priority="48" stopIfTrue="1">
      <formula>IF($S58&lt;3,TRUE,)</formula>
    </cfRule>
  </conditionalFormatting>
  <conditionalFormatting sqref="G58">
    <cfRule type="expression" dxfId="1382" priority="47" stopIfTrue="1">
      <formula>IF($S58&lt;2,TRUE,)</formula>
    </cfRule>
  </conditionalFormatting>
  <conditionalFormatting sqref="F58">
    <cfRule type="expression" dxfId="1381" priority="46" stopIfTrue="1">
      <formula>IF($S58&lt;1,TRUE,)</formula>
    </cfRule>
  </conditionalFormatting>
  <conditionalFormatting sqref="O58">
    <cfRule type="expression" dxfId="1380" priority="45" stopIfTrue="1">
      <formula>IF($S58&lt;10,TRUE,)</formula>
    </cfRule>
  </conditionalFormatting>
  <conditionalFormatting sqref="F47:O48">
    <cfRule type="colorScale" priority="44">
      <colorScale>
        <cfvo type="num" val="0"/>
        <cfvo type="num" val="5"/>
        <cfvo type="num" val="10"/>
        <color rgb="FF00B050"/>
        <color rgb="FFFFFF00"/>
        <color rgb="FFFF0000"/>
      </colorScale>
    </cfRule>
  </conditionalFormatting>
  <conditionalFormatting sqref="N47:N48">
    <cfRule type="expression" dxfId="1379" priority="43" stopIfTrue="1">
      <formula>IF($S47&lt;9,TRUE,)</formula>
    </cfRule>
  </conditionalFormatting>
  <conditionalFormatting sqref="M47:M48">
    <cfRule type="expression" dxfId="1378" priority="42" stopIfTrue="1">
      <formula>IF($S47&lt;8,TRUE,)</formula>
    </cfRule>
  </conditionalFormatting>
  <conditionalFormatting sqref="L47:L48">
    <cfRule type="expression" dxfId="1377" priority="41" stopIfTrue="1">
      <formula>IF($S47&lt;7,TRUE,)</formula>
    </cfRule>
  </conditionalFormatting>
  <conditionalFormatting sqref="K47:K48">
    <cfRule type="expression" dxfId="1376" priority="40" stopIfTrue="1">
      <formula>IF($S47&lt;6,TRUE,)</formula>
    </cfRule>
  </conditionalFormatting>
  <conditionalFormatting sqref="J47:J48">
    <cfRule type="expression" dxfId="1375" priority="39" stopIfTrue="1">
      <formula>IF($S47&lt;5,TRUE,)</formula>
    </cfRule>
  </conditionalFormatting>
  <conditionalFormatting sqref="I47:I48">
    <cfRule type="expression" dxfId="1374" priority="38" stopIfTrue="1">
      <formula>IF($S47&lt;4,TRUE,)</formula>
    </cfRule>
  </conditionalFormatting>
  <conditionalFormatting sqref="H47:H48">
    <cfRule type="expression" dxfId="1373" priority="37" stopIfTrue="1">
      <formula>IF($S47&lt;3,TRUE,)</formula>
    </cfRule>
  </conditionalFormatting>
  <conditionalFormatting sqref="G47:G48">
    <cfRule type="expression" dxfId="1372" priority="36" stopIfTrue="1">
      <formula>IF($S47&lt;2,TRUE,)</formula>
    </cfRule>
  </conditionalFormatting>
  <conditionalFormatting sqref="F47:F48">
    <cfRule type="expression" dxfId="1371" priority="35" stopIfTrue="1">
      <formula>IF($S47&lt;1,TRUE,)</formula>
    </cfRule>
  </conditionalFormatting>
  <conditionalFormatting sqref="O47:O48">
    <cfRule type="expression" dxfId="1370" priority="34" stopIfTrue="1">
      <formula>IF($S47&lt;10,TRUE,)</formula>
    </cfRule>
  </conditionalFormatting>
  <conditionalFormatting sqref="F54:O55">
    <cfRule type="colorScale" priority="33">
      <colorScale>
        <cfvo type="num" val="0"/>
        <cfvo type="num" val="5"/>
        <cfvo type="num" val="10"/>
        <color rgb="FF00B050"/>
        <color rgb="FFFFFF00"/>
        <color rgb="FFFF0000"/>
      </colorScale>
    </cfRule>
  </conditionalFormatting>
  <conditionalFormatting sqref="N54:N55">
    <cfRule type="expression" dxfId="1369" priority="32" stopIfTrue="1">
      <formula>IF($S54&lt;9,TRUE,)</formula>
    </cfRule>
  </conditionalFormatting>
  <conditionalFormatting sqref="M54:M55">
    <cfRule type="expression" dxfId="1368" priority="31" stopIfTrue="1">
      <formula>IF($S54&lt;8,TRUE,)</formula>
    </cfRule>
  </conditionalFormatting>
  <conditionalFormatting sqref="L54:L55">
    <cfRule type="expression" dxfId="1367" priority="30" stopIfTrue="1">
      <formula>IF($S54&lt;7,TRUE,)</formula>
    </cfRule>
  </conditionalFormatting>
  <conditionalFormatting sqref="K54:K55">
    <cfRule type="expression" dxfId="1366" priority="29" stopIfTrue="1">
      <formula>IF($S54&lt;6,TRUE,)</formula>
    </cfRule>
  </conditionalFormatting>
  <conditionalFormatting sqref="J54:J55">
    <cfRule type="expression" dxfId="1365" priority="28" stopIfTrue="1">
      <formula>IF($S54&lt;5,TRUE,)</formula>
    </cfRule>
  </conditionalFormatting>
  <conditionalFormatting sqref="I54:I55">
    <cfRule type="expression" dxfId="1364" priority="27" stopIfTrue="1">
      <formula>IF($S54&lt;4,TRUE,)</formula>
    </cfRule>
  </conditionalFormatting>
  <conditionalFormatting sqref="H54:H55">
    <cfRule type="expression" dxfId="1363" priority="26" stopIfTrue="1">
      <formula>IF($S54&lt;3,TRUE,)</formula>
    </cfRule>
  </conditionalFormatting>
  <conditionalFormatting sqref="G54:G55">
    <cfRule type="expression" dxfId="1362" priority="25" stopIfTrue="1">
      <formula>IF($S54&lt;2,TRUE,)</formula>
    </cfRule>
  </conditionalFormatting>
  <conditionalFormatting sqref="F54:F55">
    <cfRule type="expression" dxfId="1361" priority="24" stopIfTrue="1">
      <formula>IF($S54&lt;1,TRUE,)</formula>
    </cfRule>
  </conditionalFormatting>
  <conditionalFormatting sqref="O54:O55">
    <cfRule type="expression" dxfId="1360" priority="23" stopIfTrue="1">
      <formula>IF($S54&lt;10,TRUE,)</formula>
    </cfRule>
  </conditionalFormatting>
  <conditionalFormatting sqref="F49:O50">
    <cfRule type="colorScale" priority="22">
      <colorScale>
        <cfvo type="num" val="0"/>
        <cfvo type="num" val="5"/>
        <cfvo type="num" val="10"/>
        <color rgb="FF00B050"/>
        <color rgb="FFFFFF00"/>
        <color rgb="FFFF0000"/>
      </colorScale>
    </cfRule>
  </conditionalFormatting>
  <conditionalFormatting sqref="N49:N50">
    <cfRule type="expression" dxfId="1359" priority="21" stopIfTrue="1">
      <formula>IF($S49&lt;9,TRUE,)</formula>
    </cfRule>
  </conditionalFormatting>
  <conditionalFormatting sqref="M49:M50">
    <cfRule type="expression" dxfId="1358" priority="20" stopIfTrue="1">
      <formula>IF($S49&lt;8,TRUE,)</formula>
    </cfRule>
  </conditionalFormatting>
  <conditionalFormatting sqref="L49:L50">
    <cfRule type="expression" dxfId="1357" priority="19" stopIfTrue="1">
      <formula>IF($S49&lt;7,TRUE,)</formula>
    </cfRule>
  </conditionalFormatting>
  <conditionalFormatting sqref="K49:K50">
    <cfRule type="expression" dxfId="1356" priority="18" stopIfTrue="1">
      <formula>IF($S49&lt;6,TRUE,)</formula>
    </cfRule>
  </conditionalFormatting>
  <conditionalFormatting sqref="J49:J50">
    <cfRule type="expression" dxfId="1355" priority="17" stopIfTrue="1">
      <formula>IF($S49&lt;5,TRUE,)</formula>
    </cfRule>
  </conditionalFormatting>
  <conditionalFormatting sqref="I49:I50">
    <cfRule type="expression" dxfId="1354" priority="16" stopIfTrue="1">
      <formula>IF($S49&lt;4,TRUE,)</formula>
    </cfRule>
  </conditionalFormatting>
  <conditionalFormatting sqref="H49:H50">
    <cfRule type="expression" dxfId="1353" priority="15" stopIfTrue="1">
      <formula>IF($S49&lt;3,TRUE,)</formula>
    </cfRule>
  </conditionalFormatting>
  <conditionalFormatting sqref="G49:G50">
    <cfRule type="expression" dxfId="1352" priority="14" stopIfTrue="1">
      <formula>IF($S49&lt;2,TRUE,)</formula>
    </cfRule>
  </conditionalFormatting>
  <conditionalFormatting sqref="F49:F50">
    <cfRule type="expression" dxfId="1351" priority="13" stopIfTrue="1">
      <formula>IF($S49&lt;1,TRUE,)</formula>
    </cfRule>
  </conditionalFormatting>
  <conditionalFormatting sqref="O49:O50">
    <cfRule type="expression" dxfId="1350" priority="12" stopIfTrue="1">
      <formula>IF($S49&lt;10,TRUE,)</formula>
    </cfRule>
  </conditionalFormatting>
  <conditionalFormatting sqref="F56:O57">
    <cfRule type="colorScale" priority="11">
      <colorScale>
        <cfvo type="num" val="0"/>
        <cfvo type="num" val="5"/>
        <cfvo type="num" val="10"/>
        <color rgb="FF00B050"/>
        <color rgb="FFFFFF00"/>
        <color rgb="FFFF0000"/>
      </colorScale>
    </cfRule>
  </conditionalFormatting>
  <conditionalFormatting sqref="N56:N57">
    <cfRule type="expression" dxfId="1349" priority="10" stopIfTrue="1">
      <formula>IF($S56&lt;9,TRUE,)</formula>
    </cfRule>
  </conditionalFormatting>
  <conditionalFormatting sqref="M56:M57">
    <cfRule type="expression" dxfId="1348" priority="9" stopIfTrue="1">
      <formula>IF($S56&lt;8,TRUE,)</formula>
    </cfRule>
  </conditionalFormatting>
  <conditionalFormatting sqref="L56:L57">
    <cfRule type="expression" dxfId="1347" priority="8" stopIfTrue="1">
      <formula>IF($S56&lt;7,TRUE,)</formula>
    </cfRule>
  </conditionalFormatting>
  <conditionalFormatting sqref="K56:K57">
    <cfRule type="expression" dxfId="1346" priority="7" stopIfTrue="1">
      <formula>IF($S56&lt;6,TRUE,)</formula>
    </cfRule>
  </conditionalFormatting>
  <conditionalFormatting sqref="J56:J57">
    <cfRule type="expression" dxfId="1345" priority="6" stopIfTrue="1">
      <formula>IF($S56&lt;5,TRUE,)</formula>
    </cfRule>
  </conditionalFormatting>
  <conditionalFormatting sqref="I56:I57">
    <cfRule type="expression" dxfId="1344" priority="5" stopIfTrue="1">
      <formula>IF($S56&lt;4,TRUE,)</formula>
    </cfRule>
  </conditionalFormatting>
  <conditionalFormatting sqref="H56:H57">
    <cfRule type="expression" dxfId="1343" priority="4" stopIfTrue="1">
      <formula>IF($S56&lt;3,TRUE,)</formula>
    </cfRule>
  </conditionalFormatting>
  <conditionalFormatting sqref="G56:G57">
    <cfRule type="expression" dxfId="1342" priority="3" stopIfTrue="1">
      <formula>IF($S56&lt;2,TRUE,)</formula>
    </cfRule>
  </conditionalFormatting>
  <conditionalFormatting sqref="F56:F57">
    <cfRule type="expression" dxfId="1341" priority="2" stopIfTrue="1">
      <formula>IF($S56&lt;1,TRUE,)</formula>
    </cfRule>
  </conditionalFormatting>
  <conditionalFormatting sqref="O56:O57">
    <cfRule type="expression" dxfId="1340" priority="1" stopIfTrue="1">
      <formula>IF($S56&lt;10,TRUE,)</formula>
    </cfRule>
  </conditionalFormatting>
  <dataValidations xWindow="705" yWindow="543" count="11">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_x000a_" sqref="D60:P60"/>
    <dataValidation type="list" allowBlank="1" showInputMessage="1" showErrorMessage="1" promptTitle="DROP DOWN LIST" prompt="Select whether the named person is staff, a manager or an administrator. Leave this cell blank if you entered a FUNCTION name or left the name blank." sqref="P15:P18 P22:P25 P31:P34 P38:P41 P47:P50 P54:P57">
      <formula1>R.DDL_DEQStaffRank</formula1>
    </dataValidation>
    <dataValidation allowBlank="1" showInputMessage="1" showErrorMessage="1" promptTitle="ENTER NAME" prompt="Enter the name of the STAFF or FUNCTION involved with IMPLEMENTING the project._x000a_" sqref="D22:D25 D38:D41 D54:D57"/>
    <dataValidation allowBlank="1" showInputMessage="1" showErrorMessage="1" promptTitle="ENTER NAME" prompt="Enter the name of the STAFF or FUNCTION involved with DEVELOPING the project._x000a_" sqref="D15:D18 D47:D50 D31:D34"/>
    <dataValidation type="list" allowBlank="1" showInputMessage="1" showErrorMessage="1" promptTitle="DROP DOWN LIST" prompt="Select a range of hours from the drop down list that best describes how involved this resource will be in DEVELOPING this project." sqref="E31:E34 E15:E18 E47:E50">
      <formula1>R.DDL_DEQResourcesInvolved</formula1>
    </dataValidation>
    <dataValidation type="list" allowBlank="1" showInputMessage="1" showErrorMessage="1" promptTitle="DROP DOWN LIST" prompt="Select a range of hours from the drop down list that best describes how involved this resource will be in IMPLEMENTING this project." sqref="E38:E41 E22:E25 E54:E57">
      <formula1>R.DDL_DEQResourcesInvolved</formula1>
    </dataValidation>
    <dataValidation type="list" allowBlank="1" showInputMessage="1" showErrorMessage="1" sqref="P59">
      <formula1>R.DDL_DEQStaffRank</formula1>
    </dataValidation>
    <dataValidation type="textLength" allowBlank="1" showInputMessage="1" showErrorMessage="1" promptTitle="DESCRIBE INVOLVEMENT" prompt="_x000a_Describe how this resource would be involved with the proposal during the implementation phase of the rule." sqref="D36:P36 D52:P52">
      <formula1>0</formula1>
      <formula2>5000</formula2>
    </dataValidation>
    <dataValidation type="textLength" allowBlank="1" showInputMessage="1" showErrorMessage="1" promptTitle="DESCRIBE INVOLVEMENT" prompt="_x000a_Describe how this resource would be involved with the proposal during the development phase of the rule." sqref="D29:P29 D45:P45">
      <formula1>0</formula1>
      <formula2>5000</formula2>
    </dataValidation>
    <dataValidation allowBlank="1" showErrorMessage="1" sqref="D7:P8"/>
    <dataValidation allowBlank="1" showInputMessage="1" showErrorMessage="1" promptTitle="DESCRIBE INVOLVEMENT" prompt="_x000a_Describe how this resource would be involved with the proposal during the development phase of the rule." sqref="D13:P13 D20:P20"/>
  </dataValidations>
  <hyperlinks>
    <hyperlink ref="A1" location="R.0Header" display="⧀ Go to Content"/>
    <hyperlink ref="A2" r:id="rId1" display="⧁ on Q-net"/>
    <hyperlink ref="A27" r:id="rId2" display="⧀ on Q-net"/>
    <hyperlink ref="A43" r:id="rId3" display="⧀ on Q-net"/>
    <hyperlink ref="A61" location="R.11Header" display="Go to Top"/>
  </hyperlinks>
  <pageMargins left="0.25" right="0.25" top="0.75" bottom="0.75" header="0.3" footer="0.3"/>
  <pageSetup scale="89" orientation="portrait" horizontalDpi="4294967293" verticalDpi="4294967293" r:id="rId4"/>
  <rowBreaks count="1" manualBreakCount="1">
    <brk id="26" min="2" max="16" man="1"/>
  </rowBreaks>
  <drawing r:id="rId5"/>
  <legacyDrawing r:id="rId6"/>
</worksheet>
</file>

<file path=xl/worksheets/sheet16.xml><?xml version="1.0" encoding="utf-8"?>
<worksheet xmlns="http://schemas.openxmlformats.org/spreadsheetml/2006/main" xmlns:r="http://schemas.openxmlformats.org/officeDocument/2006/relationships">
  <sheetPr codeName="Sheet5"/>
  <dimension ref="A1:AG38"/>
  <sheetViews>
    <sheetView showGridLines="0" tabSelected="1" zoomScaleNormal="100" workbookViewId="0">
      <selection activeCell="E2" sqref="E2:P2"/>
    </sheetView>
  </sheetViews>
  <sheetFormatPr defaultColWidth="9" defaultRowHeight="20.25" outlineLevelRow="1" outlineLevelCol="1"/>
  <cols>
    <col min="1" max="1" width="13.75" style="64" customWidth="1"/>
    <col min="2" max="2" width="3.625" style="64" customWidth="1"/>
    <col min="3" max="3" width="3.625" style="44" customWidth="1"/>
    <col min="4" max="4" width="40.5" style="302" customWidth="1"/>
    <col min="5" max="5" width="15.75" style="302" customWidth="1"/>
    <col min="6" max="15" width="1.625" style="302" customWidth="1"/>
    <col min="16" max="16" width="15.75" style="302" customWidth="1"/>
    <col min="17" max="17" width="3.625" style="302" customWidth="1"/>
    <col min="18" max="18" width="3.625" style="64" customWidth="1"/>
    <col min="19" max="19" width="9" style="113" hidden="1" customWidth="1" outlineLevel="1"/>
    <col min="20" max="20" width="14.875" style="64" hidden="1" customWidth="1" outlineLevel="1"/>
    <col min="21" max="21" width="14.625" style="64" hidden="1" customWidth="1" outlineLevel="1"/>
    <col min="22" max="22" width="30.625" style="64" customWidth="1" collapsed="1"/>
    <col min="23" max="23" width="16.5" style="64" customWidth="1"/>
    <col min="24" max="24" width="18" style="64" customWidth="1"/>
    <col min="25" max="32" width="31.125" style="64" customWidth="1"/>
    <col min="33" max="33" width="31.125" style="302" customWidth="1"/>
    <col min="34" max="16384" width="9" style="302"/>
  </cols>
  <sheetData>
    <row r="1" spans="1:33" s="64" customFormat="1" ht="20.25" customHeight="1">
      <c r="A1" s="350" t="s">
        <v>104</v>
      </c>
      <c r="B1" s="334"/>
      <c r="C1" s="334"/>
      <c r="D1" s="334"/>
      <c r="E1" s="334"/>
      <c r="F1" s="334"/>
      <c r="G1" s="334"/>
      <c r="H1" s="334"/>
      <c r="I1" s="334"/>
      <c r="J1" s="334"/>
      <c r="K1" s="334"/>
      <c r="L1" s="334"/>
      <c r="M1" s="334"/>
      <c r="N1" s="334"/>
      <c r="O1" s="334"/>
      <c r="P1" s="334"/>
      <c r="Q1" s="334"/>
      <c r="R1" s="334"/>
      <c r="S1" s="113"/>
    </row>
    <row r="2" spans="1:33" s="6" customFormat="1" ht="30" customHeight="1" thickBot="1">
      <c r="A2" s="350" t="s">
        <v>107</v>
      </c>
      <c r="B2" s="334"/>
      <c r="C2" s="152">
        <v>12</v>
      </c>
      <c r="D2" s="153" t="s">
        <v>150</v>
      </c>
      <c r="E2" s="713" t="str">
        <f>R.1MediaAndLongName</f>
        <v>CP Division 12 Updates</v>
      </c>
      <c r="F2" s="713"/>
      <c r="G2" s="713"/>
      <c r="H2" s="713"/>
      <c r="I2" s="713"/>
      <c r="J2" s="713"/>
      <c r="K2" s="713"/>
      <c r="L2" s="713"/>
      <c r="M2" s="713"/>
      <c r="N2" s="713"/>
      <c r="O2" s="713"/>
      <c r="P2" s="713"/>
      <c r="Q2" s="154"/>
      <c r="R2" s="334"/>
      <c r="W2" s="64"/>
      <c r="X2" s="64"/>
      <c r="Y2" s="64"/>
      <c r="Z2" s="64"/>
      <c r="AA2" s="64"/>
      <c r="AB2" s="64"/>
      <c r="AC2" s="64"/>
      <c r="AD2" s="66"/>
      <c r="AE2" s="66"/>
      <c r="AF2" s="66"/>
    </row>
    <row r="3" spans="1:33" s="6" customFormat="1" ht="20.25" customHeight="1" thickTop="1">
      <c r="A3" s="114"/>
      <c r="B3" s="334"/>
      <c r="C3" s="155"/>
      <c r="D3" s="96"/>
      <c r="E3" s="96"/>
      <c r="F3" s="82"/>
      <c r="G3" s="307"/>
      <c r="H3" s="307"/>
      <c r="I3" s="307"/>
      <c r="J3" s="97"/>
      <c r="K3" s="13"/>
      <c r="L3" s="13"/>
      <c r="M3" s="699" t="s">
        <v>57</v>
      </c>
      <c r="N3" s="699"/>
      <c r="O3" s="699"/>
      <c r="P3" s="699"/>
      <c r="Q3" s="156"/>
      <c r="R3" s="334"/>
      <c r="S3" s="119" t="str">
        <f>"R."&amp;$C$2&amp;"StaffCount"</f>
        <v>R.12StaffCount</v>
      </c>
      <c r="T3" s="119" t="str">
        <f>"R."&amp;$C$2&amp;"LowHrs"</f>
        <v>R.12LowHrs</v>
      </c>
      <c r="U3" s="349" t="str">
        <f>"R."&amp;$C$2&amp;"HighHrs"</f>
        <v>R.12HighHrs</v>
      </c>
      <c r="V3" s="120" t="s">
        <v>0</v>
      </c>
      <c r="W3" s="64"/>
      <c r="X3" s="64"/>
      <c r="Y3" s="64"/>
      <c r="Z3" s="64"/>
      <c r="AA3" s="64"/>
      <c r="AB3" s="64"/>
      <c r="AC3" s="64"/>
      <c r="AD3" s="66"/>
      <c r="AE3" s="66"/>
      <c r="AF3" s="66"/>
    </row>
    <row r="4" spans="1:33" s="6" customFormat="1" ht="20.25" customHeight="1">
      <c r="A4" s="114"/>
      <c r="B4" s="334"/>
      <c r="C4" s="155"/>
      <c r="D4" s="494" t="s">
        <v>55</v>
      </c>
      <c r="E4" s="81">
        <f>S4</f>
        <v>1</v>
      </c>
      <c r="F4" s="700" t="s">
        <v>54</v>
      </c>
      <c r="G4" s="700"/>
      <c r="H4" s="700"/>
      <c r="I4" s="700"/>
      <c r="J4" s="700"/>
      <c r="K4" s="700"/>
      <c r="L4" s="700"/>
      <c r="M4" s="701" t="str">
        <f>S5</f>
        <v>8-40</v>
      </c>
      <c r="N4" s="701"/>
      <c r="O4" s="701"/>
      <c r="P4" s="701"/>
      <c r="Q4" s="156"/>
      <c r="R4" s="334"/>
      <c r="S4" s="121">
        <f>COUNTIFS(S15:S25,"&gt;0")</f>
        <v>1</v>
      </c>
      <c r="T4" s="124">
        <f>SUM(T15:T25)</f>
        <v>8</v>
      </c>
      <c r="U4" s="124">
        <f>SUM(U15:U25)</f>
        <v>40</v>
      </c>
      <c r="V4" s="120"/>
      <c r="W4" s="64"/>
      <c r="X4" s="64"/>
      <c r="Y4" s="64"/>
      <c r="Z4" s="64"/>
      <c r="AA4" s="64"/>
      <c r="AB4" s="64"/>
      <c r="AC4" s="64"/>
      <c r="AD4" s="66"/>
      <c r="AE4" s="66"/>
      <c r="AF4" s="66"/>
    </row>
    <row r="5" spans="1:33" s="6" customFormat="1" ht="20.25" customHeight="1">
      <c r="A5" s="114"/>
      <c r="B5" s="334"/>
      <c r="C5" s="155"/>
      <c r="D5" s="494" t="s">
        <v>68</v>
      </c>
      <c r="E5" s="98">
        <f>R.AvgHrDEQCost</f>
        <v>58</v>
      </c>
      <c r="F5" s="700" t="s">
        <v>58</v>
      </c>
      <c r="G5" s="700"/>
      <c r="H5" s="700"/>
      <c r="I5" s="700"/>
      <c r="J5" s="700"/>
      <c r="K5" s="700"/>
      <c r="L5" s="700"/>
      <c r="M5" s="702" t="str">
        <f>S6</f>
        <v>$464-2,320</v>
      </c>
      <c r="N5" s="702"/>
      <c r="O5" s="702"/>
      <c r="P5" s="702"/>
      <c r="Q5" s="156"/>
      <c r="R5" s="334"/>
      <c r="S5" s="122" t="str">
        <f>IF(R.12StaffCount=0,"0",IF(R.12LowHrs=0,"0-"&amp;TEXT(R.12HighHrs,"#,###"),TEXT(R.12LowHrs,"#,###")&amp;"-"&amp;TEXT(R.12HighHrs,"#,###")))</f>
        <v>8-40</v>
      </c>
      <c r="T5" s="119" t="str">
        <f>"R."&amp;$C$2&amp;"LowDollars"</f>
        <v>R.12LowDollars</v>
      </c>
      <c r="U5" s="349" t="str">
        <f>"R."&amp;$C$2&amp;"HighDollars"</f>
        <v>R.12HighDollars</v>
      </c>
      <c r="V5" s="120"/>
      <c r="W5" s="64"/>
      <c r="X5" s="64"/>
      <c r="Y5" s="64"/>
      <c r="Z5" s="64"/>
      <c r="AA5" s="64"/>
      <c r="AB5" s="64"/>
      <c r="AC5" s="64"/>
      <c r="AD5" s="66"/>
      <c r="AE5" s="66"/>
      <c r="AF5" s="66"/>
    </row>
    <row r="6" spans="1:33" s="6" customFormat="1" ht="8.25" customHeight="1">
      <c r="A6" s="114"/>
      <c r="B6" s="334"/>
      <c r="C6" s="155"/>
      <c r="D6" s="110" t="s">
        <v>0</v>
      </c>
      <c r="E6" s="100"/>
      <c r="F6" s="99"/>
      <c r="G6" s="99"/>
      <c r="H6" s="99"/>
      <c r="I6" s="99"/>
      <c r="J6" s="99"/>
      <c r="K6" s="99"/>
      <c r="L6" s="99"/>
      <c r="M6" s="99"/>
      <c r="N6" s="99"/>
      <c r="O6" s="99"/>
      <c r="P6" s="99"/>
      <c r="Q6" s="156"/>
      <c r="R6" s="334"/>
      <c r="S6" s="122" t="str">
        <f>IF(R.12StaffCount=0,"$0",IF(R.12LowDollars=0,"$0-"&amp;TEXT(R.12HighDollars,"#,###"),TEXT(R.12LowDollars,"$#,###")&amp;"-"&amp;TEXT(R.12HighDollars,"#,###")))</f>
        <v>$464-2,320</v>
      </c>
      <c r="T6" s="124">
        <f>T4*E5</f>
        <v>464</v>
      </c>
      <c r="U6" s="124">
        <f>U4*E5</f>
        <v>2320</v>
      </c>
      <c r="V6" s="120"/>
      <c r="W6" s="64"/>
      <c r="X6" s="64"/>
      <c r="Y6" s="64"/>
      <c r="Z6" s="64"/>
      <c r="AA6" s="64"/>
      <c r="AB6" s="64"/>
      <c r="AC6" s="64"/>
      <c r="AD6" s="66"/>
      <c r="AE6" s="66"/>
      <c r="AF6" s="66"/>
    </row>
    <row r="7" spans="1:33" s="6" customFormat="1" ht="105" customHeight="1">
      <c r="A7" s="316"/>
      <c r="B7" s="334"/>
      <c r="C7" s="155"/>
      <c r="D7" s="730" t="s">
        <v>249</v>
      </c>
      <c r="E7" s="731"/>
      <c r="F7" s="731"/>
      <c r="G7" s="731"/>
      <c r="H7" s="731"/>
      <c r="I7" s="731"/>
      <c r="J7" s="731"/>
      <c r="K7" s="731"/>
      <c r="L7" s="731"/>
      <c r="M7" s="731"/>
      <c r="N7" s="731"/>
      <c r="O7" s="731"/>
      <c r="P7" s="732"/>
      <c r="Q7" s="156"/>
      <c r="R7" s="334"/>
      <c r="S7" s="496">
        <f>AVERAGEIF(S14:S56,"&gt;0")</f>
        <v>2</v>
      </c>
      <c r="T7" s="493"/>
      <c r="U7" s="493"/>
      <c r="V7" s="120"/>
      <c r="W7" s="436"/>
      <c r="X7" s="436"/>
      <c r="Y7" s="436"/>
      <c r="Z7" s="436"/>
      <c r="AA7" s="436"/>
      <c r="AB7" s="436"/>
      <c r="AC7" s="436"/>
      <c r="AD7" s="66"/>
      <c r="AE7" s="66"/>
      <c r="AF7" s="66"/>
    </row>
    <row r="8" spans="1:33" s="6" customFormat="1" ht="20.25" customHeight="1">
      <c r="A8" s="316"/>
      <c r="B8" s="334"/>
      <c r="C8" s="155"/>
      <c r="D8" s="748" t="s">
        <v>514</v>
      </c>
      <c r="E8" s="748"/>
      <c r="F8" s="748"/>
      <c r="G8" s="748"/>
      <c r="H8" s="748"/>
      <c r="I8" s="748"/>
      <c r="J8" s="748"/>
      <c r="K8" s="748"/>
      <c r="L8" s="748"/>
      <c r="M8" s="748"/>
      <c r="N8" s="748"/>
      <c r="O8" s="748"/>
      <c r="P8" s="748"/>
      <c r="Q8" s="156"/>
      <c r="R8" s="334"/>
      <c r="T8" s="493"/>
      <c r="U8" s="493"/>
      <c r="V8" s="120"/>
      <c r="W8" s="436"/>
      <c r="X8" s="436"/>
      <c r="Y8" s="436"/>
      <c r="Z8" s="436"/>
      <c r="AA8" s="436"/>
      <c r="AB8" s="436"/>
      <c r="AC8" s="436"/>
      <c r="AD8" s="66"/>
      <c r="AE8" s="66"/>
      <c r="AF8" s="66"/>
    </row>
    <row r="9" spans="1:33" s="28" customFormat="1" ht="15.75" customHeight="1">
      <c r="A9" s="345"/>
      <c r="B9" s="440"/>
      <c r="C9" s="138"/>
      <c r="D9" s="745" t="s">
        <v>469</v>
      </c>
      <c r="E9" s="746"/>
      <c r="F9" s="746"/>
      <c r="G9" s="746"/>
      <c r="H9" s="746"/>
      <c r="I9" s="746"/>
      <c r="J9" s="746"/>
      <c r="K9" s="746"/>
      <c r="L9" s="746"/>
      <c r="M9" s="746"/>
      <c r="N9" s="746"/>
      <c r="O9" s="746"/>
      <c r="P9" s="747"/>
      <c r="Q9" s="139"/>
      <c r="R9" s="440"/>
      <c r="S9" s="463"/>
      <c r="T9" s="463"/>
      <c r="U9" s="441"/>
      <c r="V9" s="438"/>
      <c r="W9" s="438"/>
      <c r="X9" s="438"/>
      <c r="Y9" s="438"/>
      <c r="Z9" s="438"/>
      <c r="AA9" s="438"/>
      <c r="AB9" s="438"/>
      <c r="AC9" s="438"/>
      <c r="AD9" s="130"/>
      <c r="AE9" s="130"/>
      <c r="AF9" s="130"/>
      <c r="AG9" s="130"/>
    </row>
    <row r="10" spans="1:33" s="69" customFormat="1" ht="8.25" customHeight="1">
      <c r="A10" s="115"/>
      <c r="B10" s="334"/>
      <c r="C10" s="404"/>
      <c r="D10" s="405"/>
      <c r="E10" s="405"/>
      <c r="F10" s="405"/>
      <c r="G10" s="405"/>
      <c r="H10" s="405"/>
      <c r="I10" s="405"/>
      <c r="J10" s="405"/>
      <c r="K10" s="405"/>
      <c r="L10" s="405"/>
      <c r="M10" s="405"/>
      <c r="N10" s="405"/>
      <c r="O10" s="405"/>
      <c r="P10" s="405"/>
      <c r="Q10" s="406"/>
      <c r="R10" s="334"/>
      <c r="S10" s="125"/>
      <c r="T10" s="125"/>
      <c r="U10" s="125"/>
      <c r="V10" s="126"/>
      <c r="W10" s="126"/>
      <c r="X10" s="126"/>
      <c r="Y10" s="126"/>
      <c r="Z10" s="126"/>
      <c r="AA10" s="126"/>
      <c r="AB10" s="126"/>
      <c r="AC10" s="126"/>
      <c r="AD10" s="125"/>
      <c r="AE10" s="125"/>
      <c r="AF10" s="125"/>
    </row>
    <row r="11" spans="1:33" s="33" customFormat="1" ht="30" customHeight="1">
      <c r="A11" s="301"/>
      <c r="B11" s="334"/>
      <c r="C11" s="483" t="s">
        <v>0</v>
      </c>
      <c r="D11" s="381" t="s">
        <v>178</v>
      </c>
      <c r="E11" s="382"/>
      <c r="F11" s="382"/>
      <c r="G11" s="382"/>
      <c r="H11" s="382"/>
      <c r="I11" s="382"/>
      <c r="J11" s="382"/>
      <c r="K11" s="382"/>
      <c r="L11" s="382"/>
      <c r="M11" s="382"/>
      <c r="N11" s="382"/>
      <c r="O11" s="382"/>
      <c r="P11" s="382"/>
      <c r="Q11" s="384"/>
      <c r="R11" s="334"/>
      <c r="S11" s="128"/>
      <c r="T11" s="127"/>
      <c r="U11" s="127"/>
      <c r="V11" s="129"/>
      <c r="W11" s="129"/>
      <c r="X11" s="129"/>
      <c r="Y11" s="129"/>
      <c r="Z11" s="129"/>
      <c r="AA11" s="129"/>
      <c r="AB11" s="129"/>
      <c r="AC11" s="129"/>
      <c r="AD11" s="127"/>
      <c r="AE11" s="127"/>
      <c r="AF11" s="127"/>
    </row>
    <row r="12" spans="1:33" s="33" customFormat="1" ht="14.25">
      <c r="A12" s="116"/>
      <c r="B12" s="334"/>
      <c r="C12" s="232"/>
      <c r="D12" s="443" t="s">
        <v>53</v>
      </c>
      <c r="E12" s="94"/>
      <c r="F12" s="94"/>
      <c r="G12" s="94"/>
      <c r="H12" s="94"/>
      <c r="I12" s="94"/>
      <c r="J12" s="94"/>
      <c r="K12" s="94"/>
      <c r="L12" s="94"/>
      <c r="M12" s="94"/>
      <c r="N12" s="94"/>
      <c r="O12" s="94"/>
      <c r="P12" s="94"/>
      <c r="Q12" s="137"/>
      <c r="R12" s="334"/>
      <c r="S12" s="242"/>
      <c r="T12" s="127"/>
      <c r="U12" s="127"/>
      <c r="V12" s="230"/>
      <c r="W12" s="230"/>
      <c r="X12" s="230"/>
      <c r="Y12" s="230"/>
      <c r="Z12" s="230"/>
      <c r="AA12" s="230"/>
      <c r="AB12" s="230"/>
      <c r="AC12" s="230"/>
      <c r="AD12" s="127"/>
      <c r="AE12" s="127"/>
      <c r="AF12" s="127"/>
    </row>
    <row r="13" spans="1:33" s="28" customFormat="1" ht="15.75" customHeight="1">
      <c r="A13" s="117"/>
      <c r="B13" s="334"/>
      <c r="C13" s="138"/>
      <c r="D13" s="719" t="s">
        <v>609</v>
      </c>
      <c r="E13" s="720"/>
      <c r="F13" s="720"/>
      <c r="G13" s="720"/>
      <c r="H13" s="720"/>
      <c r="I13" s="720"/>
      <c r="J13" s="720"/>
      <c r="K13" s="720"/>
      <c r="L13" s="720"/>
      <c r="M13" s="720"/>
      <c r="N13" s="720"/>
      <c r="O13" s="720"/>
      <c r="P13" s="721"/>
      <c r="Q13" s="139"/>
      <c r="R13" s="334"/>
      <c r="S13" s="131"/>
      <c r="T13" s="130"/>
      <c r="U13" s="130"/>
      <c r="V13" s="64"/>
      <c r="W13" s="64"/>
      <c r="X13" s="64"/>
      <c r="Y13" s="64"/>
      <c r="Z13" s="64"/>
      <c r="AA13" s="64"/>
      <c r="AB13" s="64"/>
      <c r="AC13" s="64"/>
      <c r="AD13" s="130"/>
      <c r="AE13" s="130"/>
      <c r="AF13" s="130"/>
    </row>
    <row r="14" spans="1:33" s="33" customFormat="1" ht="14.25" customHeight="1">
      <c r="A14" s="116"/>
      <c r="B14" s="334"/>
      <c r="C14" s="232"/>
      <c r="D14" s="442" t="s">
        <v>60</v>
      </c>
      <c r="E14" s="292" t="s">
        <v>18</v>
      </c>
      <c r="F14" s="722" t="s">
        <v>19</v>
      </c>
      <c r="G14" s="722"/>
      <c r="H14" s="722"/>
      <c r="I14" s="722"/>
      <c r="J14" s="722"/>
      <c r="K14" s="722"/>
      <c r="L14" s="722"/>
      <c r="M14" s="722"/>
      <c r="N14" s="722"/>
      <c r="O14" s="722"/>
      <c r="P14" s="292" t="s">
        <v>20</v>
      </c>
      <c r="Q14" s="137"/>
      <c r="R14" s="334"/>
      <c r="S14" s="228"/>
      <c r="T14" s="229"/>
      <c r="U14" s="229"/>
      <c r="V14" s="230"/>
      <c r="W14" s="230"/>
      <c r="X14" s="230"/>
      <c r="Y14" s="230"/>
      <c r="Z14" s="230"/>
      <c r="AA14" s="230"/>
      <c r="AB14" s="230"/>
      <c r="AC14" s="230"/>
      <c r="AD14" s="127"/>
      <c r="AE14" s="127"/>
      <c r="AF14" s="127"/>
    </row>
    <row r="15" spans="1:33" s="28" customFormat="1" ht="15.75" customHeight="1">
      <c r="A15" s="117"/>
      <c r="B15" s="334"/>
      <c r="C15" s="138"/>
      <c r="D15" s="36" t="s">
        <v>608</v>
      </c>
      <c r="E15" s="30" t="s">
        <v>232</v>
      </c>
      <c r="F15" s="71">
        <v>1</v>
      </c>
      <c r="G15" s="72">
        <v>2</v>
      </c>
      <c r="H15" s="73">
        <v>3</v>
      </c>
      <c r="I15" s="74">
        <v>4</v>
      </c>
      <c r="J15" s="75">
        <v>5</v>
      </c>
      <c r="K15" s="76">
        <v>6</v>
      </c>
      <c r="L15" s="77">
        <v>7</v>
      </c>
      <c r="M15" s="78">
        <v>8</v>
      </c>
      <c r="N15" s="79">
        <v>9</v>
      </c>
      <c r="O15" s="80">
        <v>10</v>
      </c>
      <c r="P15" s="32" t="s">
        <v>15</v>
      </c>
      <c r="Q15" s="139"/>
      <c r="R15" s="334"/>
      <c r="S15" s="133">
        <f>VLOOKUP($E15,R.VL_DEQResourcesInvolved,2,FALSE)</f>
        <v>2</v>
      </c>
      <c r="T15" s="121">
        <f>VLOOKUP($E15,R.VL_DEQResourcesInvolved,3,FALSE)</f>
        <v>8</v>
      </c>
      <c r="U15" s="121">
        <f>IF(S15=10,T15,VLOOKUP($E15,R.VL_DEQResourcesInvolved,4,FALSE))</f>
        <v>40</v>
      </c>
      <c r="V15" s="575" t="s">
        <v>554</v>
      </c>
      <c r="W15" s="64"/>
      <c r="X15" s="64"/>
      <c r="Y15" s="64"/>
      <c r="Z15" s="64"/>
      <c r="AA15" s="64"/>
      <c r="AB15" s="64"/>
      <c r="AC15" s="64"/>
      <c r="AD15" s="130"/>
      <c r="AE15" s="130"/>
      <c r="AF15" s="130"/>
    </row>
    <row r="16" spans="1:33" s="28" customFormat="1" ht="15.75" hidden="1" customHeight="1" outlineLevel="1">
      <c r="A16" s="117"/>
      <c r="B16" s="334"/>
      <c r="C16" s="138"/>
      <c r="D16" s="36" t="s">
        <v>0</v>
      </c>
      <c r="E16" s="30" t="s">
        <v>229</v>
      </c>
      <c r="F16" s="71">
        <v>1</v>
      </c>
      <c r="G16" s="72">
        <v>2</v>
      </c>
      <c r="H16" s="73">
        <v>3</v>
      </c>
      <c r="I16" s="74">
        <v>4</v>
      </c>
      <c r="J16" s="75">
        <v>5</v>
      </c>
      <c r="K16" s="76">
        <v>6</v>
      </c>
      <c r="L16" s="77">
        <v>7</v>
      </c>
      <c r="M16" s="78">
        <v>8</v>
      </c>
      <c r="N16" s="79">
        <v>9</v>
      </c>
      <c r="O16" s="80">
        <v>10</v>
      </c>
      <c r="P16" s="32" t="s">
        <v>0</v>
      </c>
      <c r="Q16" s="139"/>
      <c r="R16" s="334"/>
      <c r="S16" s="133">
        <f>VLOOKUP($E16,R.VL_DEQResourcesInvolved,2,FALSE)</f>
        <v>0</v>
      </c>
      <c r="T16" s="121">
        <f>VLOOKUP($E16,R.VL_DEQResourcesInvolved,3,FALSE)</f>
        <v>0</v>
      </c>
      <c r="U16" s="121">
        <f>IF(S16=10,T16,VLOOKUP($E16,R.VL_DEQResourcesInvolved,4,FALSE))</f>
        <v>0</v>
      </c>
      <c r="V16" s="64"/>
      <c r="W16" s="64"/>
      <c r="X16" s="64"/>
      <c r="Y16" s="64"/>
      <c r="Z16" s="64"/>
      <c r="AA16" s="64"/>
      <c r="AB16" s="64"/>
      <c r="AC16" s="64"/>
      <c r="AD16" s="130"/>
      <c r="AE16" s="130"/>
      <c r="AF16" s="130"/>
    </row>
    <row r="17" spans="1:32" s="28" customFormat="1" ht="15.75" hidden="1" customHeight="1" outlineLevel="1">
      <c r="A17" s="117"/>
      <c r="B17" s="334"/>
      <c r="C17" s="138"/>
      <c r="D17" s="36" t="s">
        <v>0</v>
      </c>
      <c r="E17" s="30" t="s">
        <v>229</v>
      </c>
      <c r="F17" s="71">
        <v>1</v>
      </c>
      <c r="G17" s="72">
        <v>2</v>
      </c>
      <c r="H17" s="73">
        <v>3</v>
      </c>
      <c r="I17" s="74">
        <v>4</v>
      </c>
      <c r="J17" s="75">
        <v>5</v>
      </c>
      <c r="K17" s="76">
        <v>6</v>
      </c>
      <c r="L17" s="77">
        <v>7</v>
      </c>
      <c r="M17" s="78">
        <v>8</v>
      </c>
      <c r="N17" s="79">
        <v>9</v>
      </c>
      <c r="O17" s="80">
        <v>10</v>
      </c>
      <c r="P17" s="32" t="s">
        <v>0</v>
      </c>
      <c r="Q17" s="139"/>
      <c r="R17" s="334"/>
      <c r="S17" s="133">
        <f>VLOOKUP($E17,R.VL_DEQResourcesInvolved,2,FALSE)</f>
        <v>0</v>
      </c>
      <c r="T17" s="121">
        <f>VLOOKUP($E17,R.VL_DEQResourcesInvolved,3,FALSE)</f>
        <v>0</v>
      </c>
      <c r="U17" s="121">
        <f>IF(S17=10,T17,VLOOKUP($E17,R.VL_DEQResourcesInvolved,4,FALSE))</f>
        <v>0</v>
      </c>
      <c r="V17" s="64"/>
      <c r="W17" s="64"/>
      <c r="X17" s="64"/>
      <c r="Y17" s="64"/>
      <c r="Z17" s="64"/>
      <c r="AA17" s="64"/>
      <c r="AB17" s="64"/>
      <c r="AC17" s="64"/>
      <c r="AD17" s="130"/>
      <c r="AE17" s="130"/>
      <c r="AF17" s="130"/>
    </row>
    <row r="18" spans="1:32" s="28" customFormat="1" ht="15.75" hidden="1" customHeight="1" outlineLevel="1">
      <c r="A18" s="117"/>
      <c r="B18" s="334"/>
      <c r="C18" s="138"/>
      <c r="D18" s="36" t="s">
        <v>0</v>
      </c>
      <c r="E18" s="30" t="s">
        <v>229</v>
      </c>
      <c r="F18" s="71">
        <v>1</v>
      </c>
      <c r="G18" s="72">
        <v>2</v>
      </c>
      <c r="H18" s="73">
        <v>3</v>
      </c>
      <c r="I18" s="74">
        <v>4</v>
      </c>
      <c r="J18" s="75">
        <v>5</v>
      </c>
      <c r="K18" s="76">
        <v>6</v>
      </c>
      <c r="L18" s="77">
        <v>7</v>
      </c>
      <c r="M18" s="78">
        <v>8</v>
      </c>
      <c r="N18" s="79">
        <v>9</v>
      </c>
      <c r="O18" s="80">
        <v>10</v>
      </c>
      <c r="P18" s="32" t="s">
        <v>0</v>
      </c>
      <c r="Q18" s="139"/>
      <c r="R18" s="334"/>
      <c r="S18" s="133">
        <f>VLOOKUP($E18,R.VL_DEQResourcesInvolved,2,FALSE)</f>
        <v>0</v>
      </c>
      <c r="T18" s="121">
        <f>VLOOKUP($E18,R.VL_DEQResourcesInvolved,3,FALSE)</f>
        <v>0</v>
      </c>
      <c r="U18" s="121">
        <f>IF(S18=10,T18,VLOOKUP($E18,R.VL_DEQResourcesInvolved,4,FALSE))</f>
        <v>0</v>
      </c>
      <c r="V18" s="64"/>
      <c r="W18" s="64"/>
      <c r="X18" s="64"/>
      <c r="Y18" s="64"/>
      <c r="Z18" s="64"/>
      <c r="AA18" s="64"/>
      <c r="AB18" s="64"/>
      <c r="AC18" s="64"/>
      <c r="AD18" s="130"/>
      <c r="AE18" s="130"/>
      <c r="AF18" s="130"/>
    </row>
    <row r="19" spans="1:32" s="28" customFormat="1" ht="14.25" collapsed="1">
      <c r="A19" s="117"/>
      <c r="B19" s="334"/>
      <c r="C19" s="245"/>
      <c r="D19" s="442" t="s">
        <v>52</v>
      </c>
      <c r="E19" s="31"/>
      <c r="F19" s="31"/>
      <c r="G19" s="31"/>
      <c r="H19" s="31"/>
      <c r="I19" s="31"/>
      <c r="J19" s="31"/>
      <c r="K19" s="31"/>
      <c r="L19" s="31"/>
      <c r="M19" s="31"/>
      <c r="N19" s="31"/>
      <c r="O19" s="31"/>
      <c r="P19" s="31"/>
      <c r="Q19" s="143"/>
      <c r="R19" s="334"/>
      <c r="S19" s="228"/>
      <c r="T19" s="229"/>
      <c r="U19" s="229"/>
      <c r="V19" s="236"/>
      <c r="W19" s="236"/>
      <c r="X19" s="236"/>
      <c r="Y19" s="236"/>
      <c r="Z19" s="236"/>
      <c r="AA19" s="236"/>
      <c r="AB19" s="236"/>
      <c r="AC19" s="236"/>
      <c r="AD19" s="130"/>
      <c r="AE19" s="130"/>
      <c r="AF19" s="130"/>
    </row>
    <row r="20" spans="1:32" s="28" customFormat="1" ht="15.75" customHeight="1">
      <c r="A20" s="117"/>
      <c r="B20" s="334"/>
      <c r="C20" s="138"/>
      <c r="D20" s="719"/>
      <c r="E20" s="720"/>
      <c r="F20" s="720"/>
      <c r="G20" s="720"/>
      <c r="H20" s="720"/>
      <c r="I20" s="720"/>
      <c r="J20" s="720"/>
      <c r="K20" s="720"/>
      <c r="L20" s="720"/>
      <c r="M20" s="720"/>
      <c r="N20" s="720"/>
      <c r="O20" s="720"/>
      <c r="P20" s="721"/>
      <c r="Q20" s="139"/>
      <c r="R20" s="334"/>
      <c r="S20" s="132" t="s">
        <v>0</v>
      </c>
      <c r="T20" s="131"/>
      <c r="U20" s="131"/>
      <c r="V20" s="64"/>
      <c r="W20" s="64"/>
      <c r="X20" s="64"/>
      <c r="Y20" s="64"/>
      <c r="Z20" s="64"/>
      <c r="AA20" s="64"/>
      <c r="AB20" s="64"/>
      <c r="AC20" s="64"/>
      <c r="AD20" s="130"/>
      <c r="AE20" s="130"/>
      <c r="AF20" s="130"/>
    </row>
    <row r="21" spans="1:32" s="33" customFormat="1" ht="14.25">
      <c r="A21" s="116"/>
      <c r="B21" s="334"/>
      <c r="C21" s="232"/>
      <c r="D21" s="442" t="s">
        <v>60</v>
      </c>
      <c r="E21" s="292" t="s">
        <v>18</v>
      </c>
      <c r="F21" s="292" t="s">
        <v>19</v>
      </c>
      <c r="G21" s="292"/>
      <c r="H21" s="292"/>
      <c r="I21" s="292"/>
      <c r="J21" s="292"/>
      <c r="K21" s="292"/>
      <c r="L21" s="292"/>
      <c r="M21" s="292"/>
      <c r="N21" s="292"/>
      <c r="O21" s="292"/>
      <c r="P21" s="292" t="s">
        <v>20</v>
      </c>
      <c r="Q21" s="137"/>
      <c r="R21" s="334"/>
      <c r="S21" s="228"/>
      <c r="T21" s="229"/>
      <c r="U21" s="229"/>
      <c r="V21" s="230"/>
      <c r="W21" s="230"/>
      <c r="X21" s="230"/>
      <c r="Y21" s="230"/>
      <c r="Z21" s="230"/>
      <c r="AA21" s="230"/>
      <c r="AB21" s="230"/>
      <c r="AC21" s="230"/>
      <c r="AD21" s="127"/>
      <c r="AE21" s="127"/>
      <c r="AF21" s="127"/>
    </row>
    <row r="22" spans="1:32" s="28" customFormat="1" ht="15.75" customHeight="1">
      <c r="A22" s="117"/>
      <c r="B22" s="334"/>
      <c r="C22" s="138"/>
      <c r="D22" s="36"/>
      <c r="E22" s="30" t="s">
        <v>229</v>
      </c>
      <c r="F22" s="71">
        <v>1</v>
      </c>
      <c r="G22" s="72">
        <v>2</v>
      </c>
      <c r="H22" s="73">
        <v>3</v>
      </c>
      <c r="I22" s="74">
        <v>4</v>
      </c>
      <c r="J22" s="75">
        <v>5</v>
      </c>
      <c r="K22" s="76">
        <v>6</v>
      </c>
      <c r="L22" s="77">
        <v>7</v>
      </c>
      <c r="M22" s="78">
        <v>8</v>
      </c>
      <c r="N22" s="79">
        <v>9</v>
      </c>
      <c r="O22" s="80">
        <v>10</v>
      </c>
      <c r="P22" s="32"/>
      <c r="Q22" s="139"/>
      <c r="R22" s="334"/>
      <c r="S22" s="133">
        <f>VLOOKUP($E22,R.VL_DEQResourcesInvolved,2,FALSE)</f>
        <v>0</v>
      </c>
      <c r="T22" s="121">
        <f>VLOOKUP($E22,R.VL_DEQResourcesInvolved,3,FALSE)</f>
        <v>0</v>
      </c>
      <c r="U22" s="121">
        <f>IF(S22=10,T22,VLOOKUP($E22,R.VL_DEQResourcesInvolved,4,FALSE))</f>
        <v>0</v>
      </c>
      <c r="V22" s="575" t="s">
        <v>554</v>
      </c>
      <c r="W22" s="64"/>
      <c r="X22" s="64"/>
      <c r="Y22" s="64"/>
      <c r="Z22" s="64"/>
      <c r="AA22" s="64"/>
      <c r="AB22" s="64"/>
      <c r="AC22" s="64"/>
      <c r="AD22" s="130"/>
      <c r="AE22" s="130"/>
      <c r="AF22" s="130"/>
    </row>
    <row r="23" spans="1:32" s="28" customFormat="1" ht="15.75" hidden="1" customHeight="1" outlineLevel="1">
      <c r="A23" s="117"/>
      <c r="B23" s="334"/>
      <c r="C23" s="138"/>
      <c r="D23" s="36"/>
      <c r="E23" s="30" t="s">
        <v>229</v>
      </c>
      <c r="F23" s="71">
        <v>1</v>
      </c>
      <c r="G23" s="72">
        <v>2</v>
      </c>
      <c r="H23" s="73">
        <v>3</v>
      </c>
      <c r="I23" s="74">
        <v>4</v>
      </c>
      <c r="J23" s="75">
        <v>5</v>
      </c>
      <c r="K23" s="76">
        <v>6</v>
      </c>
      <c r="L23" s="77">
        <v>7</v>
      </c>
      <c r="M23" s="78">
        <v>8</v>
      </c>
      <c r="N23" s="79">
        <v>9</v>
      </c>
      <c r="O23" s="80">
        <v>10</v>
      </c>
      <c r="P23" s="32"/>
      <c r="Q23" s="139"/>
      <c r="R23" s="334"/>
      <c r="S23" s="133">
        <f>VLOOKUP($E23,R.VL_DEQResourcesInvolved,2,FALSE)</f>
        <v>0</v>
      </c>
      <c r="T23" s="121">
        <f>VLOOKUP($E23,R.VL_DEQResourcesInvolved,3,FALSE)</f>
        <v>0</v>
      </c>
      <c r="U23" s="121">
        <f>IF(S23=10,T23,VLOOKUP($E23,R.VL_DEQResourcesInvolved,4,FALSE))</f>
        <v>0</v>
      </c>
      <c r="V23" s="64"/>
      <c r="W23" s="64"/>
      <c r="X23" s="64"/>
      <c r="Y23" s="64"/>
      <c r="Z23" s="64"/>
      <c r="AA23" s="64"/>
      <c r="AB23" s="64"/>
      <c r="AC23" s="64"/>
      <c r="AD23" s="130"/>
      <c r="AE23" s="130"/>
      <c r="AF23" s="130"/>
    </row>
    <row r="24" spans="1:32" s="28" customFormat="1" ht="15.75" hidden="1" customHeight="1" outlineLevel="1">
      <c r="A24" s="117"/>
      <c r="B24" s="334"/>
      <c r="C24" s="138"/>
      <c r="D24" s="36" t="s">
        <v>0</v>
      </c>
      <c r="E24" s="30" t="s">
        <v>229</v>
      </c>
      <c r="F24" s="71">
        <v>1</v>
      </c>
      <c r="G24" s="72">
        <v>2</v>
      </c>
      <c r="H24" s="73">
        <v>3</v>
      </c>
      <c r="I24" s="74">
        <v>4</v>
      </c>
      <c r="J24" s="75">
        <v>5</v>
      </c>
      <c r="K24" s="76">
        <v>6</v>
      </c>
      <c r="L24" s="77">
        <v>7</v>
      </c>
      <c r="M24" s="78">
        <v>8</v>
      </c>
      <c r="N24" s="79">
        <v>9</v>
      </c>
      <c r="O24" s="80">
        <v>10</v>
      </c>
      <c r="P24" s="32" t="s">
        <v>0</v>
      </c>
      <c r="Q24" s="139"/>
      <c r="R24" s="334"/>
      <c r="S24" s="133">
        <f>VLOOKUP($E24,R.VL_DEQResourcesInvolved,2,FALSE)</f>
        <v>0</v>
      </c>
      <c r="T24" s="121">
        <f>VLOOKUP($E24,R.VL_DEQResourcesInvolved,3,FALSE)</f>
        <v>0</v>
      </c>
      <c r="U24" s="121">
        <f>IF(S24=10,T24,VLOOKUP($E24,R.VL_DEQResourcesInvolved,4,FALSE))</f>
        <v>0</v>
      </c>
      <c r="V24" s="64"/>
      <c r="W24" s="64"/>
      <c r="X24" s="64"/>
      <c r="Y24" s="64"/>
      <c r="Z24" s="64"/>
      <c r="AA24" s="64"/>
      <c r="AB24" s="64"/>
      <c r="AC24" s="64"/>
      <c r="AD24" s="130"/>
      <c r="AE24" s="130"/>
      <c r="AF24" s="130"/>
    </row>
    <row r="25" spans="1:32" s="28" customFormat="1" ht="15.75" hidden="1" customHeight="1" outlineLevel="1">
      <c r="A25" s="117"/>
      <c r="B25" s="334"/>
      <c r="C25" s="138"/>
      <c r="D25" s="36" t="s">
        <v>0</v>
      </c>
      <c r="E25" s="30" t="s">
        <v>229</v>
      </c>
      <c r="F25" s="71">
        <v>1</v>
      </c>
      <c r="G25" s="72">
        <v>2</v>
      </c>
      <c r="H25" s="73">
        <v>3</v>
      </c>
      <c r="I25" s="74">
        <v>4</v>
      </c>
      <c r="J25" s="75">
        <v>5</v>
      </c>
      <c r="K25" s="76">
        <v>6</v>
      </c>
      <c r="L25" s="77">
        <v>7</v>
      </c>
      <c r="M25" s="78">
        <v>8</v>
      </c>
      <c r="N25" s="79">
        <v>9</v>
      </c>
      <c r="O25" s="80">
        <v>10</v>
      </c>
      <c r="P25" s="32" t="s">
        <v>0</v>
      </c>
      <c r="Q25" s="139"/>
      <c r="R25" s="334"/>
      <c r="S25" s="133">
        <f>VLOOKUP($E25,R.VL_DEQResourcesInvolved,2,FALSE)</f>
        <v>0</v>
      </c>
      <c r="T25" s="121">
        <f>VLOOKUP($E25,R.VL_DEQResourcesInvolved,3,FALSE)</f>
        <v>0</v>
      </c>
      <c r="U25" s="121">
        <f>IF(S25=10,T25,VLOOKUP($E25,R.VL_DEQResourcesInvolved,4,FALSE))</f>
        <v>0</v>
      </c>
      <c r="V25" s="64"/>
      <c r="W25" s="64"/>
      <c r="X25" s="64"/>
      <c r="Y25" s="64"/>
      <c r="Z25" s="64"/>
      <c r="AA25" s="64"/>
      <c r="AB25" s="64"/>
      <c r="AC25" s="64"/>
      <c r="AD25" s="130"/>
      <c r="AE25" s="130"/>
      <c r="AF25" s="130"/>
    </row>
    <row r="26" spans="1:32" s="28" customFormat="1" ht="14.25" customHeight="1" collapsed="1">
      <c r="A26" s="117"/>
      <c r="B26" s="334"/>
      <c r="C26" s="376"/>
      <c r="D26" s="481"/>
      <c r="E26" s="739"/>
      <c r="F26" s="739"/>
      <c r="G26" s="739"/>
      <c r="H26" s="739"/>
      <c r="I26" s="739"/>
      <c r="J26" s="739"/>
      <c r="K26" s="739"/>
      <c r="L26" s="739"/>
      <c r="M26" s="739"/>
      <c r="N26" s="739"/>
      <c r="O26" s="739"/>
      <c r="P26" s="739"/>
      <c r="Q26" s="379"/>
      <c r="R26" s="334"/>
      <c r="S26" s="132"/>
      <c r="T26" s="131"/>
      <c r="U26" s="131"/>
      <c r="V26" s="64"/>
      <c r="W26" s="64"/>
      <c r="X26" s="64"/>
      <c r="Y26" s="64"/>
      <c r="Z26" s="64"/>
      <c r="AA26" s="64"/>
      <c r="AB26" s="64"/>
      <c r="AC26" s="64"/>
      <c r="AD26" s="130"/>
      <c r="AE26" s="130"/>
      <c r="AF26" s="130"/>
    </row>
    <row r="27" spans="1:32" s="29" customFormat="1" ht="30" customHeight="1">
      <c r="A27" s="118"/>
      <c r="B27" s="334"/>
      <c r="C27" s="146"/>
      <c r="D27" s="644" t="str">
        <f>"Please suggest process improvements to the "&amp;D2&amp;" worksheet."</f>
        <v>Please suggest process improvements to the Compliance &amp; Enforcement worksheet.</v>
      </c>
      <c r="E27" s="644"/>
      <c r="F27" s="644"/>
      <c r="G27" s="644"/>
      <c r="H27" s="644"/>
      <c r="I27" s="644"/>
      <c r="J27" s="644"/>
      <c r="K27" s="644"/>
      <c r="L27" s="644"/>
      <c r="M27" s="644"/>
      <c r="N27" s="644"/>
      <c r="O27" s="644"/>
      <c r="P27" s="39"/>
      <c r="Q27" s="147"/>
      <c r="R27" s="334"/>
      <c r="S27" s="134"/>
      <c r="T27" s="131"/>
      <c r="U27" s="131"/>
      <c r="V27" s="64"/>
      <c r="W27" s="64"/>
      <c r="X27" s="64"/>
      <c r="Y27" s="64"/>
      <c r="Z27" s="64"/>
      <c r="AA27" s="64"/>
      <c r="AB27" s="64"/>
      <c r="AC27" s="64"/>
      <c r="AD27" s="65"/>
      <c r="AE27" s="65"/>
      <c r="AF27" s="65"/>
    </row>
    <row r="28" spans="1:32" s="6" customFormat="1" ht="30.75" customHeight="1">
      <c r="A28" s="114"/>
      <c r="B28" s="334"/>
      <c r="C28" s="136"/>
      <c r="D28" s="641"/>
      <c r="E28" s="642"/>
      <c r="F28" s="642"/>
      <c r="G28" s="642"/>
      <c r="H28" s="642"/>
      <c r="I28" s="642"/>
      <c r="J28" s="642"/>
      <c r="K28" s="642"/>
      <c r="L28" s="642"/>
      <c r="M28" s="642"/>
      <c r="N28" s="642"/>
      <c r="O28" s="642"/>
      <c r="P28" s="643"/>
      <c r="Q28" s="148"/>
      <c r="R28" s="334"/>
      <c r="S28" s="132"/>
      <c r="T28" s="131"/>
      <c r="U28" s="131"/>
      <c r="V28" s="64"/>
      <c r="W28" s="64"/>
      <c r="X28" s="64"/>
      <c r="Y28" s="64"/>
      <c r="Z28" s="64"/>
      <c r="AA28" s="64"/>
      <c r="AB28" s="64"/>
      <c r="AC28" s="64"/>
      <c r="AD28" s="66"/>
      <c r="AE28" s="66"/>
      <c r="AF28" s="66"/>
    </row>
    <row r="29" spans="1:32" ht="18" customHeight="1">
      <c r="A29" s="350" t="s">
        <v>108</v>
      </c>
      <c r="B29" s="334"/>
      <c r="C29" s="149"/>
      <c r="D29" s="150"/>
      <c r="E29" s="150"/>
      <c r="F29" s="150"/>
      <c r="G29" s="150"/>
      <c r="H29" s="150"/>
      <c r="I29" s="150"/>
      <c r="J29" s="150"/>
      <c r="K29" s="150"/>
      <c r="L29" s="150"/>
      <c r="M29" s="150"/>
      <c r="N29" s="150"/>
      <c r="O29" s="150"/>
      <c r="P29" s="150"/>
      <c r="Q29" s="151"/>
      <c r="R29" s="334"/>
    </row>
    <row r="30" spans="1:32" s="64" customFormat="1" ht="14.25" customHeight="1">
      <c r="B30" s="334"/>
      <c r="C30" s="334"/>
      <c r="D30" s="334"/>
      <c r="E30" s="334"/>
      <c r="F30" s="334"/>
      <c r="G30" s="334"/>
      <c r="H30" s="334"/>
      <c r="I30" s="334"/>
      <c r="J30" s="334"/>
      <c r="K30" s="334"/>
      <c r="L30" s="334"/>
      <c r="M30" s="334"/>
      <c r="N30" s="334"/>
      <c r="O30" s="334"/>
      <c r="P30" s="334"/>
      <c r="Q30" s="334"/>
      <c r="R30" s="334"/>
      <c r="S30" s="113"/>
    </row>
    <row r="31" spans="1:32" s="64" customFormat="1">
      <c r="C31" s="112"/>
      <c r="S31" s="113"/>
    </row>
    <row r="32" spans="1:32" s="64" customFormat="1">
      <c r="C32" s="112"/>
      <c r="S32" s="113"/>
    </row>
    <row r="33" spans="3:19" s="64" customFormat="1">
      <c r="C33" s="112"/>
      <c r="S33" s="113"/>
    </row>
    <row r="34" spans="3:19" s="64" customFormat="1">
      <c r="C34" s="112"/>
      <c r="S34" s="113"/>
    </row>
    <row r="35" spans="3:19" s="64" customFormat="1">
      <c r="C35" s="112"/>
      <c r="S35" s="113"/>
    </row>
    <row r="36" spans="3:19" s="64" customFormat="1">
      <c r="C36" s="112"/>
      <c r="S36" s="113"/>
    </row>
    <row r="37" spans="3:19" s="64" customFormat="1">
      <c r="C37" s="112"/>
      <c r="S37" s="113"/>
    </row>
    <row r="38" spans="3:19" s="64" customFormat="1">
      <c r="C38" s="112"/>
      <c r="S38" s="113"/>
    </row>
  </sheetData>
  <sheetProtection sheet="1" scenarios="1" formatCells="0" formatRows="0" insertHyperlinks="0"/>
  <mergeCells count="15">
    <mergeCell ref="D7:P7"/>
    <mergeCell ref="D8:P8"/>
    <mergeCell ref="D9:P9"/>
    <mergeCell ref="D28:P28"/>
    <mergeCell ref="D27:O27"/>
    <mergeCell ref="E26:P26"/>
    <mergeCell ref="D13:P13"/>
    <mergeCell ref="F14:O14"/>
    <mergeCell ref="D20:P20"/>
    <mergeCell ref="F5:L5"/>
    <mergeCell ref="M5:P5"/>
    <mergeCell ref="E2:P2"/>
    <mergeCell ref="M3:P3"/>
    <mergeCell ref="F4:L4"/>
    <mergeCell ref="M4:P4"/>
  </mergeCells>
  <conditionalFormatting sqref="F22:O26 F13:O13 F20:O20 F15:O18 F29:O29">
    <cfRule type="colorScale" priority="407">
      <colorScale>
        <cfvo type="num" val="0"/>
        <cfvo type="num" val="5"/>
        <cfvo type="num" val="10"/>
        <color rgb="FF00B050"/>
        <color rgb="FFFFFF00"/>
        <color rgb="FFFF0000"/>
      </colorScale>
    </cfRule>
  </conditionalFormatting>
  <conditionalFormatting sqref="N29 N15:N18 N20 N22:N26">
    <cfRule type="expression" dxfId="1339" priority="406" stopIfTrue="1">
      <formula>IF($S15&lt;9,TRUE,)</formula>
    </cfRule>
  </conditionalFormatting>
  <conditionalFormatting sqref="M29 M15:M18 M20 M22:M26">
    <cfRule type="expression" dxfId="1338" priority="405" stopIfTrue="1">
      <formula>IF($S15&lt;8,TRUE,)</formula>
    </cfRule>
  </conditionalFormatting>
  <conditionalFormatting sqref="L29 L15:L18 L20 L22:L26">
    <cfRule type="expression" dxfId="1337" priority="404" stopIfTrue="1">
      <formula>IF($S15&lt;7,TRUE,)</formula>
    </cfRule>
  </conditionalFormatting>
  <conditionalFormatting sqref="K29 K15:K18 K20 K22:K26">
    <cfRule type="expression" dxfId="1336" priority="403" stopIfTrue="1">
      <formula>IF($S15&lt;6,TRUE,)</formula>
    </cfRule>
  </conditionalFormatting>
  <conditionalFormatting sqref="J29 J15:J18 J20 J22:J26">
    <cfRule type="expression" dxfId="1335" priority="402" stopIfTrue="1">
      <formula>IF($S15&lt;5,TRUE,)</formula>
    </cfRule>
  </conditionalFormatting>
  <conditionalFormatting sqref="I29 I15:I18 I20 I22:I26">
    <cfRule type="expression" dxfId="1334" priority="401" stopIfTrue="1">
      <formula>IF($S15&lt;4,TRUE,)</formula>
    </cfRule>
  </conditionalFormatting>
  <conditionalFormatting sqref="H29 H15:H18 H20 H22:H26">
    <cfRule type="expression" dxfId="1333" priority="400" stopIfTrue="1">
      <formula>IF($S15&lt;3,TRUE,)</formula>
    </cfRule>
  </conditionalFormatting>
  <conditionalFormatting sqref="G29 G15:G18 G20 G22:G26">
    <cfRule type="expression" dxfId="1332" priority="399" stopIfTrue="1">
      <formula>IF($S15&lt;2,TRUE,)</formula>
    </cfRule>
  </conditionalFormatting>
  <conditionalFormatting sqref="F29 F15:F18 F20 F22:F26">
    <cfRule type="expression" dxfId="1331" priority="398" stopIfTrue="1">
      <formula>IF($S15&lt;1,TRUE,)</formula>
    </cfRule>
  </conditionalFormatting>
  <conditionalFormatting sqref="O29 O15:O18 O20 O22:O26">
    <cfRule type="expression" dxfId="1330" priority="397" stopIfTrue="1">
      <formula>IF($S15&lt;10,TRUE,)</formula>
    </cfRule>
  </conditionalFormatting>
  <conditionalFormatting sqref="N15:N16">
    <cfRule type="expression" dxfId="1329" priority="395" stopIfTrue="1">
      <formula>IF($S15&lt;9,TRUE,)</formula>
    </cfRule>
  </conditionalFormatting>
  <conditionalFormatting sqref="M15:M16">
    <cfRule type="expression" dxfId="1328" priority="394" stopIfTrue="1">
      <formula>IF($S15&lt;8,TRUE,)</formula>
    </cfRule>
  </conditionalFormatting>
  <conditionalFormatting sqref="L15:L16">
    <cfRule type="expression" dxfId="1327" priority="393" stopIfTrue="1">
      <formula>IF($S15&lt;7,TRUE,)</formula>
    </cfRule>
  </conditionalFormatting>
  <conditionalFormatting sqref="K15:K16">
    <cfRule type="expression" dxfId="1326" priority="392" stopIfTrue="1">
      <formula>IF($S15&lt;6,TRUE,)</formula>
    </cfRule>
  </conditionalFormatting>
  <conditionalFormatting sqref="J15:J16">
    <cfRule type="expression" dxfId="1325" priority="391" stopIfTrue="1">
      <formula>IF($S15&lt;5,TRUE,)</formula>
    </cfRule>
  </conditionalFormatting>
  <conditionalFormatting sqref="I15:I16">
    <cfRule type="expression" dxfId="1324" priority="390" stopIfTrue="1">
      <formula>IF($S15&lt;4,TRUE,)</formula>
    </cfRule>
  </conditionalFormatting>
  <conditionalFormatting sqref="H15:H16">
    <cfRule type="expression" dxfId="1323" priority="389" stopIfTrue="1">
      <formula>IF($S15&lt;3,TRUE,)</formula>
    </cfRule>
  </conditionalFormatting>
  <conditionalFormatting sqref="G15:G16">
    <cfRule type="expression" dxfId="1322" priority="388" stopIfTrue="1">
      <formula>IF($S15&lt;2,TRUE,)</formula>
    </cfRule>
  </conditionalFormatting>
  <conditionalFormatting sqref="F15:F16">
    <cfRule type="expression" dxfId="1321" priority="387" stopIfTrue="1">
      <formula>IF($S15&lt;1,TRUE,)</formula>
    </cfRule>
  </conditionalFormatting>
  <conditionalFormatting sqref="O15:O16">
    <cfRule type="expression" dxfId="1320" priority="386" stopIfTrue="1">
      <formula>IF($S15&lt;10,TRUE,)</formula>
    </cfRule>
  </conditionalFormatting>
  <conditionalFormatting sqref="N22:N23">
    <cfRule type="expression" dxfId="1319" priority="384" stopIfTrue="1">
      <formula>IF($S22&lt;9,TRUE,)</formula>
    </cfRule>
  </conditionalFormatting>
  <conditionalFormatting sqref="M22:M23">
    <cfRule type="expression" dxfId="1318" priority="383" stopIfTrue="1">
      <formula>IF($S22&lt;8,TRUE,)</formula>
    </cfRule>
  </conditionalFormatting>
  <conditionalFormatting sqref="L22:L23">
    <cfRule type="expression" dxfId="1317" priority="382" stopIfTrue="1">
      <formula>IF($S22&lt;7,TRUE,)</formula>
    </cfRule>
  </conditionalFormatting>
  <conditionalFormatting sqref="K22:K23">
    <cfRule type="expression" dxfId="1316" priority="381" stopIfTrue="1">
      <formula>IF($S22&lt;6,TRUE,)</formula>
    </cfRule>
  </conditionalFormatting>
  <conditionalFormatting sqref="J22:J23">
    <cfRule type="expression" dxfId="1315" priority="380" stopIfTrue="1">
      <formula>IF($S22&lt;5,TRUE,)</formula>
    </cfRule>
  </conditionalFormatting>
  <conditionalFormatting sqref="I22:I23">
    <cfRule type="expression" dxfId="1314" priority="379" stopIfTrue="1">
      <formula>IF($S22&lt;4,TRUE,)</formula>
    </cfRule>
  </conditionalFormatting>
  <conditionalFormatting sqref="H22:H23">
    <cfRule type="expression" dxfId="1313" priority="378" stopIfTrue="1">
      <formula>IF($S22&lt;3,TRUE,)</formula>
    </cfRule>
  </conditionalFormatting>
  <conditionalFormatting sqref="G22:G23">
    <cfRule type="expression" dxfId="1312" priority="377" stopIfTrue="1">
      <formula>IF($S22&lt;2,TRUE,)</formula>
    </cfRule>
  </conditionalFormatting>
  <conditionalFormatting sqref="F22:F23">
    <cfRule type="expression" dxfId="1311" priority="376" stopIfTrue="1">
      <formula>IF($S22&lt;1,TRUE,)</formula>
    </cfRule>
  </conditionalFormatting>
  <conditionalFormatting sqref="O22:O23">
    <cfRule type="expression" dxfId="1310" priority="375" stopIfTrue="1">
      <formula>IF($S22&lt;10,TRUE,)</formula>
    </cfRule>
  </conditionalFormatting>
  <conditionalFormatting sqref="N17:N18">
    <cfRule type="expression" dxfId="1309" priority="340" stopIfTrue="1">
      <formula>IF($S17&lt;9,TRUE,)</formula>
    </cfRule>
  </conditionalFormatting>
  <conditionalFormatting sqref="M17:M18">
    <cfRule type="expression" dxfId="1308" priority="339" stopIfTrue="1">
      <formula>IF($S17&lt;8,TRUE,)</formula>
    </cfRule>
  </conditionalFormatting>
  <conditionalFormatting sqref="L17:L18">
    <cfRule type="expression" dxfId="1307" priority="338" stopIfTrue="1">
      <formula>IF($S17&lt;7,TRUE,)</formula>
    </cfRule>
  </conditionalFormatting>
  <conditionalFormatting sqref="K17:K18">
    <cfRule type="expression" dxfId="1306" priority="337" stopIfTrue="1">
      <formula>IF($S17&lt;6,TRUE,)</formula>
    </cfRule>
  </conditionalFormatting>
  <conditionalFormatting sqref="J17:J18">
    <cfRule type="expression" dxfId="1305" priority="336" stopIfTrue="1">
      <formula>IF($S17&lt;5,TRUE,)</formula>
    </cfRule>
  </conditionalFormatting>
  <conditionalFormatting sqref="I17:I18">
    <cfRule type="expression" dxfId="1304" priority="335" stopIfTrue="1">
      <formula>IF($S17&lt;4,TRUE,)</formula>
    </cfRule>
  </conditionalFormatting>
  <conditionalFormatting sqref="H17:H18">
    <cfRule type="expression" dxfId="1303" priority="334" stopIfTrue="1">
      <formula>IF($S17&lt;3,TRUE,)</formula>
    </cfRule>
  </conditionalFormatting>
  <conditionalFormatting sqref="G17:G18">
    <cfRule type="expression" dxfId="1302" priority="333" stopIfTrue="1">
      <formula>IF($S17&lt;2,TRUE,)</formula>
    </cfRule>
  </conditionalFormatting>
  <conditionalFormatting sqref="F17:F18">
    <cfRule type="expression" dxfId="1301" priority="332" stopIfTrue="1">
      <formula>IF($S17&lt;1,TRUE,)</formula>
    </cfRule>
  </conditionalFormatting>
  <conditionalFormatting sqref="O17:O18">
    <cfRule type="expression" dxfId="1300" priority="331" stopIfTrue="1">
      <formula>IF($S17&lt;10,TRUE,)</formula>
    </cfRule>
  </conditionalFormatting>
  <conditionalFormatting sqref="N24:N25">
    <cfRule type="expression" dxfId="1299" priority="329" stopIfTrue="1">
      <formula>IF($S24&lt;9,TRUE,)</formula>
    </cfRule>
  </conditionalFormatting>
  <conditionalFormatting sqref="M24:M25">
    <cfRule type="expression" dxfId="1298" priority="328" stopIfTrue="1">
      <formula>IF($S24&lt;8,TRUE,)</formula>
    </cfRule>
  </conditionalFormatting>
  <conditionalFormatting sqref="L24:L25">
    <cfRule type="expression" dxfId="1297" priority="327" stopIfTrue="1">
      <formula>IF($S24&lt;7,TRUE,)</formula>
    </cfRule>
  </conditionalFormatting>
  <conditionalFormatting sqref="K24:K25">
    <cfRule type="expression" dxfId="1296" priority="326" stopIfTrue="1">
      <formula>IF($S24&lt;6,TRUE,)</formula>
    </cfRule>
  </conditionalFormatting>
  <conditionalFormatting sqref="J24:J25">
    <cfRule type="expression" dxfId="1295" priority="325" stopIfTrue="1">
      <formula>IF($S24&lt;5,TRUE,)</formula>
    </cfRule>
  </conditionalFormatting>
  <conditionalFormatting sqref="I24:I25">
    <cfRule type="expression" dxfId="1294" priority="324" stopIfTrue="1">
      <formula>IF($S24&lt;4,TRUE,)</formula>
    </cfRule>
  </conditionalFormatting>
  <conditionalFormatting sqref="H24:H25">
    <cfRule type="expression" dxfId="1293" priority="323" stopIfTrue="1">
      <formula>IF($S24&lt;3,TRUE,)</formula>
    </cfRule>
  </conditionalFormatting>
  <conditionalFormatting sqref="G24:G25">
    <cfRule type="expression" dxfId="1292" priority="322" stopIfTrue="1">
      <formula>IF($S24&lt;2,TRUE,)</formula>
    </cfRule>
  </conditionalFormatting>
  <conditionalFormatting sqref="F24:F25">
    <cfRule type="expression" dxfId="1291" priority="321" stopIfTrue="1">
      <formula>IF($S24&lt;1,TRUE,)</formula>
    </cfRule>
  </conditionalFormatting>
  <conditionalFormatting sqref="O24:O25">
    <cfRule type="expression" dxfId="1290" priority="320" stopIfTrue="1">
      <formula>IF($S24&lt;10,TRUE,)</formula>
    </cfRule>
  </conditionalFormatting>
  <conditionalFormatting sqref="N29">
    <cfRule type="expression" dxfId="1289" priority="241" stopIfTrue="1">
      <formula>IF($S29&lt;9,TRUE,)</formula>
    </cfRule>
  </conditionalFormatting>
  <conditionalFormatting sqref="M29">
    <cfRule type="expression" dxfId="1288" priority="240" stopIfTrue="1">
      <formula>IF($S29&lt;8,TRUE,)</formula>
    </cfRule>
  </conditionalFormatting>
  <conditionalFormatting sqref="L29">
    <cfRule type="expression" dxfId="1287" priority="239" stopIfTrue="1">
      <formula>IF($S29&lt;7,TRUE,)</formula>
    </cfRule>
  </conditionalFormatting>
  <conditionalFormatting sqref="K29">
    <cfRule type="expression" dxfId="1286" priority="238" stopIfTrue="1">
      <formula>IF($S29&lt;6,TRUE,)</formula>
    </cfRule>
  </conditionalFormatting>
  <conditionalFormatting sqref="J29">
    <cfRule type="expression" dxfId="1285" priority="237" stopIfTrue="1">
      <formula>IF($S29&lt;5,TRUE,)</formula>
    </cfRule>
  </conditionalFormatting>
  <conditionalFormatting sqref="I29">
    <cfRule type="expression" dxfId="1284" priority="236" stopIfTrue="1">
      <formula>IF($S29&lt;4,TRUE,)</formula>
    </cfRule>
  </conditionalFormatting>
  <conditionalFormatting sqref="H29">
    <cfRule type="expression" dxfId="1283" priority="235" stopIfTrue="1">
      <formula>IF($S29&lt;3,TRUE,)</formula>
    </cfRule>
  </conditionalFormatting>
  <conditionalFormatting sqref="G29">
    <cfRule type="expression" dxfId="1282" priority="234" stopIfTrue="1">
      <formula>IF($S29&lt;2,TRUE,)</formula>
    </cfRule>
  </conditionalFormatting>
  <conditionalFormatting sqref="F29">
    <cfRule type="expression" dxfId="1281" priority="233" stopIfTrue="1">
      <formula>IF($S29&lt;1,TRUE,)</formula>
    </cfRule>
  </conditionalFormatting>
  <conditionalFormatting sqref="O29">
    <cfRule type="expression" dxfId="1280" priority="232" stopIfTrue="1">
      <formula>IF($S29&lt;10,TRUE,)</formula>
    </cfRule>
  </conditionalFormatting>
  <conditionalFormatting sqref="N15:N16">
    <cfRule type="expression" dxfId="1279" priority="230" stopIfTrue="1">
      <formula>IF($S15&lt;9,TRUE,)</formula>
    </cfRule>
  </conditionalFormatting>
  <conditionalFormatting sqref="M15:M16">
    <cfRule type="expression" dxfId="1278" priority="229" stopIfTrue="1">
      <formula>IF($S15&lt;8,TRUE,)</formula>
    </cfRule>
  </conditionalFormatting>
  <conditionalFormatting sqref="L15:L16">
    <cfRule type="expression" dxfId="1277" priority="228" stopIfTrue="1">
      <formula>IF($S15&lt;7,TRUE,)</formula>
    </cfRule>
  </conditionalFormatting>
  <conditionalFormatting sqref="K15:K16">
    <cfRule type="expression" dxfId="1276" priority="227" stopIfTrue="1">
      <formula>IF($S15&lt;6,TRUE,)</formula>
    </cfRule>
  </conditionalFormatting>
  <conditionalFormatting sqref="J15:J16">
    <cfRule type="expression" dxfId="1275" priority="226" stopIfTrue="1">
      <formula>IF($S15&lt;5,TRUE,)</formula>
    </cfRule>
  </conditionalFormatting>
  <conditionalFormatting sqref="I15:I16">
    <cfRule type="expression" dxfId="1274" priority="225" stopIfTrue="1">
      <formula>IF($S15&lt;4,TRUE,)</formula>
    </cfRule>
  </conditionalFormatting>
  <conditionalFormatting sqref="H15:H16">
    <cfRule type="expression" dxfId="1273" priority="224" stopIfTrue="1">
      <formula>IF($S15&lt;3,TRUE,)</formula>
    </cfRule>
  </conditionalFormatting>
  <conditionalFormatting sqref="G15:G16">
    <cfRule type="expression" dxfId="1272" priority="223" stopIfTrue="1">
      <formula>IF($S15&lt;2,TRUE,)</formula>
    </cfRule>
  </conditionalFormatting>
  <conditionalFormatting sqref="F15:F16">
    <cfRule type="expression" dxfId="1271" priority="222" stopIfTrue="1">
      <formula>IF($S15&lt;1,TRUE,)</formula>
    </cfRule>
  </conditionalFormatting>
  <conditionalFormatting sqref="O15:O16">
    <cfRule type="expression" dxfId="1270" priority="221" stopIfTrue="1">
      <formula>IF($S15&lt;10,TRUE,)</formula>
    </cfRule>
  </conditionalFormatting>
  <conditionalFormatting sqref="N22:N23">
    <cfRule type="expression" dxfId="1269" priority="219" stopIfTrue="1">
      <formula>IF($S22&lt;9,TRUE,)</formula>
    </cfRule>
  </conditionalFormatting>
  <conditionalFormatting sqref="M22:M23">
    <cfRule type="expression" dxfId="1268" priority="218" stopIfTrue="1">
      <formula>IF($S22&lt;8,TRUE,)</formula>
    </cfRule>
  </conditionalFormatting>
  <conditionalFormatting sqref="L22:L23">
    <cfRule type="expression" dxfId="1267" priority="217" stopIfTrue="1">
      <formula>IF($S22&lt;7,TRUE,)</formula>
    </cfRule>
  </conditionalFormatting>
  <conditionalFormatting sqref="K22:K23">
    <cfRule type="expression" dxfId="1266" priority="216" stopIfTrue="1">
      <formula>IF($S22&lt;6,TRUE,)</formula>
    </cfRule>
  </conditionalFormatting>
  <conditionalFormatting sqref="J22:J23">
    <cfRule type="expression" dxfId="1265" priority="215" stopIfTrue="1">
      <formula>IF($S22&lt;5,TRUE,)</formula>
    </cfRule>
  </conditionalFormatting>
  <conditionalFormatting sqref="I22:I23">
    <cfRule type="expression" dxfId="1264" priority="214" stopIfTrue="1">
      <formula>IF($S22&lt;4,TRUE,)</formula>
    </cfRule>
  </conditionalFormatting>
  <conditionalFormatting sqref="H22:H23">
    <cfRule type="expression" dxfId="1263" priority="213" stopIfTrue="1">
      <formula>IF($S22&lt;3,TRUE,)</formula>
    </cfRule>
  </conditionalFormatting>
  <conditionalFormatting sqref="G22:G23">
    <cfRule type="expression" dxfId="1262" priority="212" stopIfTrue="1">
      <formula>IF($S22&lt;2,TRUE,)</formula>
    </cfRule>
  </conditionalFormatting>
  <conditionalFormatting sqref="F22:F23">
    <cfRule type="expression" dxfId="1261" priority="211" stopIfTrue="1">
      <formula>IF($S22&lt;1,TRUE,)</formula>
    </cfRule>
  </conditionalFormatting>
  <conditionalFormatting sqref="O22:O23">
    <cfRule type="expression" dxfId="1260" priority="210" stopIfTrue="1">
      <formula>IF($S22&lt;10,TRUE,)</formula>
    </cfRule>
  </conditionalFormatting>
  <conditionalFormatting sqref="N17:N18">
    <cfRule type="expression" dxfId="1259" priority="175" stopIfTrue="1">
      <formula>IF($S17&lt;9,TRUE,)</formula>
    </cfRule>
  </conditionalFormatting>
  <conditionalFormatting sqref="M17:M18">
    <cfRule type="expression" dxfId="1258" priority="174" stopIfTrue="1">
      <formula>IF($S17&lt;8,TRUE,)</formula>
    </cfRule>
  </conditionalFormatting>
  <conditionalFormatting sqref="L17:L18">
    <cfRule type="expression" dxfId="1257" priority="173" stopIfTrue="1">
      <formula>IF($S17&lt;7,TRUE,)</formula>
    </cfRule>
  </conditionalFormatting>
  <conditionalFormatting sqref="K17:K18">
    <cfRule type="expression" dxfId="1256" priority="172" stopIfTrue="1">
      <formula>IF($S17&lt;6,TRUE,)</formula>
    </cfRule>
  </conditionalFormatting>
  <conditionalFormatting sqref="J17:J18">
    <cfRule type="expression" dxfId="1255" priority="171" stopIfTrue="1">
      <formula>IF($S17&lt;5,TRUE,)</formula>
    </cfRule>
  </conditionalFormatting>
  <conditionalFormatting sqref="I17:I18">
    <cfRule type="expression" dxfId="1254" priority="170" stopIfTrue="1">
      <formula>IF($S17&lt;4,TRUE,)</formula>
    </cfRule>
  </conditionalFormatting>
  <conditionalFormatting sqref="H17:H18">
    <cfRule type="expression" dxfId="1253" priority="169" stopIfTrue="1">
      <formula>IF($S17&lt;3,TRUE,)</formula>
    </cfRule>
  </conditionalFormatting>
  <conditionalFormatting sqref="G17:G18">
    <cfRule type="expression" dxfId="1252" priority="168" stopIfTrue="1">
      <formula>IF($S17&lt;2,TRUE,)</formula>
    </cfRule>
  </conditionalFormatting>
  <conditionalFormatting sqref="F17:F18">
    <cfRule type="expression" dxfId="1251" priority="167" stopIfTrue="1">
      <formula>IF($S17&lt;1,TRUE,)</formula>
    </cfRule>
  </conditionalFormatting>
  <conditionalFormatting sqref="O17:O18">
    <cfRule type="expression" dxfId="1250" priority="166" stopIfTrue="1">
      <formula>IF($S17&lt;10,TRUE,)</formula>
    </cfRule>
  </conditionalFormatting>
  <conditionalFormatting sqref="N24:N25">
    <cfRule type="expression" dxfId="1249" priority="164" stopIfTrue="1">
      <formula>IF($S24&lt;9,TRUE,)</formula>
    </cfRule>
  </conditionalFormatting>
  <conditionalFormatting sqref="M24:M25">
    <cfRule type="expression" dxfId="1248" priority="163" stopIfTrue="1">
      <formula>IF($S24&lt;8,TRUE,)</formula>
    </cfRule>
  </conditionalFormatting>
  <conditionalFormatting sqref="L24:L25">
    <cfRule type="expression" dxfId="1247" priority="162" stopIfTrue="1">
      <formula>IF($S24&lt;7,TRUE,)</formula>
    </cfRule>
  </conditionalFormatting>
  <conditionalFormatting sqref="K24:K25">
    <cfRule type="expression" dxfId="1246" priority="161" stopIfTrue="1">
      <formula>IF($S24&lt;6,TRUE,)</formula>
    </cfRule>
  </conditionalFormatting>
  <conditionalFormatting sqref="J24:J25">
    <cfRule type="expression" dxfId="1245" priority="160" stopIfTrue="1">
      <formula>IF($S24&lt;5,TRUE,)</formula>
    </cfRule>
  </conditionalFormatting>
  <conditionalFormatting sqref="I24:I25">
    <cfRule type="expression" dxfId="1244" priority="159" stopIfTrue="1">
      <formula>IF($S24&lt;4,TRUE,)</formula>
    </cfRule>
  </conditionalFormatting>
  <conditionalFormatting sqref="H24:H25">
    <cfRule type="expression" dxfId="1243" priority="158" stopIfTrue="1">
      <formula>IF($S24&lt;3,TRUE,)</formula>
    </cfRule>
  </conditionalFormatting>
  <conditionalFormatting sqref="G24:G25">
    <cfRule type="expression" dxfId="1242" priority="157" stopIfTrue="1">
      <formula>IF($S24&lt;2,TRUE,)</formula>
    </cfRule>
  </conditionalFormatting>
  <conditionalFormatting sqref="F24:F25">
    <cfRule type="expression" dxfId="1241" priority="156" stopIfTrue="1">
      <formula>IF($S24&lt;1,TRUE,)</formula>
    </cfRule>
  </conditionalFormatting>
  <conditionalFormatting sqref="O24:O25">
    <cfRule type="expression" dxfId="1240" priority="155" stopIfTrue="1">
      <formula>IF($S24&lt;10,TRUE,)</formula>
    </cfRule>
  </conditionalFormatting>
  <conditionalFormatting sqref="N13">
    <cfRule type="expression" dxfId="1239" priority="76" stopIfTrue="1">
      <formula>IF($S13&lt;9,TRUE,)</formula>
    </cfRule>
  </conditionalFormatting>
  <conditionalFormatting sqref="M13">
    <cfRule type="expression" dxfId="1238" priority="75" stopIfTrue="1">
      <formula>IF($S13&lt;8,TRUE,)</formula>
    </cfRule>
  </conditionalFormatting>
  <conditionalFormatting sqref="L13">
    <cfRule type="expression" dxfId="1237" priority="74" stopIfTrue="1">
      <formula>IF($S13&lt;7,TRUE,)</formula>
    </cfRule>
  </conditionalFormatting>
  <conditionalFormatting sqref="K13">
    <cfRule type="expression" dxfId="1236" priority="73" stopIfTrue="1">
      <formula>IF($S13&lt;6,TRUE,)</formula>
    </cfRule>
  </conditionalFormatting>
  <conditionalFormatting sqref="J13">
    <cfRule type="expression" dxfId="1235" priority="72" stopIfTrue="1">
      <formula>IF($S13&lt;5,TRUE,)</formula>
    </cfRule>
  </conditionalFormatting>
  <conditionalFormatting sqref="I13">
    <cfRule type="expression" dxfId="1234" priority="71" stopIfTrue="1">
      <formula>IF($S13&lt;4,TRUE,)</formula>
    </cfRule>
  </conditionalFormatting>
  <conditionalFormatting sqref="H13">
    <cfRule type="expression" dxfId="1233" priority="70" stopIfTrue="1">
      <formula>IF($S13&lt;3,TRUE,)</formula>
    </cfRule>
  </conditionalFormatting>
  <conditionalFormatting sqref="G13">
    <cfRule type="expression" dxfId="1232" priority="69" stopIfTrue="1">
      <formula>IF($S13&lt;2,TRUE,)</formula>
    </cfRule>
  </conditionalFormatting>
  <conditionalFormatting sqref="F13">
    <cfRule type="expression" dxfId="1231" priority="68" stopIfTrue="1">
      <formula>IF($S13&lt;1,TRUE,)</formula>
    </cfRule>
  </conditionalFormatting>
  <conditionalFormatting sqref="O13">
    <cfRule type="expression" dxfId="1230" priority="67" stopIfTrue="1">
      <formula>IF($S13&lt;10,TRUE,)</formula>
    </cfRule>
  </conditionalFormatting>
  <conditionalFormatting sqref="N13">
    <cfRule type="expression" dxfId="1229" priority="65" stopIfTrue="1">
      <formula>IF($S13&lt;9,TRUE,)</formula>
    </cfRule>
  </conditionalFormatting>
  <conditionalFormatting sqref="M13">
    <cfRule type="expression" dxfId="1228" priority="64" stopIfTrue="1">
      <formula>IF($S13&lt;8,TRUE,)</formula>
    </cfRule>
  </conditionalFormatting>
  <conditionalFormatting sqref="L13">
    <cfRule type="expression" dxfId="1227" priority="63" stopIfTrue="1">
      <formula>IF($S13&lt;7,TRUE,)</formula>
    </cfRule>
  </conditionalFormatting>
  <conditionalFormatting sqref="K13">
    <cfRule type="expression" dxfId="1226" priority="62" stopIfTrue="1">
      <formula>IF($S13&lt;6,TRUE,)</formula>
    </cfRule>
  </conditionalFormatting>
  <conditionalFormatting sqref="J13">
    <cfRule type="expression" dxfId="1225" priority="61" stopIfTrue="1">
      <formula>IF($S13&lt;5,TRUE,)</formula>
    </cfRule>
  </conditionalFormatting>
  <conditionalFormatting sqref="I13">
    <cfRule type="expression" dxfId="1224" priority="60" stopIfTrue="1">
      <formula>IF($S13&lt;4,TRUE,)</formula>
    </cfRule>
  </conditionalFormatting>
  <conditionalFormatting sqref="H13">
    <cfRule type="expression" dxfId="1223" priority="59" stopIfTrue="1">
      <formula>IF($S13&lt;3,TRUE,)</formula>
    </cfRule>
  </conditionalFormatting>
  <conditionalFormatting sqref="G13">
    <cfRule type="expression" dxfId="1222" priority="58" stopIfTrue="1">
      <formula>IF($S13&lt;2,TRUE,)</formula>
    </cfRule>
  </conditionalFormatting>
  <conditionalFormatting sqref="F13">
    <cfRule type="expression" dxfId="1221" priority="57" stopIfTrue="1">
      <formula>IF($S13&lt;1,TRUE,)</formula>
    </cfRule>
  </conditionalFormatting>
  <conditionalFormatting sqref="O13">
    <cfRule type="expression" dxfId="1220" priority="56" stopIfTrue="1">
      <formula>IF($S13&lt;10,TRUE,)</formula>
    </cfRule>
  </conditionalFormatting>
  <conditionalFormatting sqref="N26">
    <cfRule type="expression" dxfId="1219" priority="54" stopIfTrue="1">
      <formula>IF($S26&lt;9,TRUE,)</formula>
    </cfRule>
  </conditionalFormatting>
  <conditionalFormatting sqref="M26">
    <cfRule type="expression" dxfId="1218" priority="53" stopIfTrue="1">
      <formula>IF($S26&lt;8,TRUE,)</formula>
    </cfRule>
  </conditionalFormatting>
  <conditionalFormatting sqref="L26">
    <cfRule type="expression" dxfId="1217" priority="52" stopIfTrue="1">
      <formula>IF($S26&lt;7,TRUE,)</formula>
    </cfRule>
  </conditionalFormatting>
  <conditionalFormatting sqref="K26">
    <cfRule type="expression" dxfId="1216" priority="51" stopIfTrue="1">
      <formula>IF($S26&lt;6,TRUE,)</formula>
    </cfRule>
  </conditionalFormatting>
  <conditionalFormatting sqref="J26">
    <cfRule type="expression" dxfId="1215" priority="50" stopIfTrue="1">
      <formula>IF($S26&lt;5,TRUE,)</formula>
    </cfRule>
  </conditionalFormatting>
  <conditionalFormatting sqref="I26">
    <cfRule type="expression" dxfId="1214" priority="49" stopIfTrue="1">
      <formula>IF($S26&lt;4,TRUE,)</formula>
    </cfRule>
  </conditionalFormatting>
  <conditionalFormatting sqref="H26">
    <cfRule type="expression" dxfId="1213" priority="48" stopIfTrue="1">
      <formula>IF($S26&lt;3,TRUE,)</formula>
    </cfRule>
  </conditionalFormatting>
  <conditionalFormatting sqref="G26">
    <cfRule type="expression" dxfId="1212" priority="47" stopIfTrue="1">
      <formula>IF($S26&lt;2,TRUE,)</formula>
    </cfRule>
  </conditionalFormatting>
  <conditionalFormatting sqref="F26">
    <cfRule type="expression" dxfId="1211" priority="46" stopIfTrue="1">
      <formula>IF($S26&lt;1,TRUE,)</formula>
    </cfRule>
  </conditionalFormatting>
  <conditionalFormatting sqref="O26">
    <cfRule type="expression" dxfId="1210" priority="45" stopIfTrue="1">
      <formula>IF($S26&lt;10,TRUE,)</formula>
    </cfRule>
  </conditionalFormatting>
  <conditionalFormatting sqref="N15:N16">
    <cfRule type="expression" dxfId="1209" priority="43" stopIfTrue="1">
      <formula>IF($S15&lt;9,TRUE,)</formula>
    </cfRule>
  </conditionalFormatting>
  <conditionalFormatting sqref="M15:M16">
    <cfRule type="expression" dxfId="1208" priority="42" stopIfTrue="1">
      <formula>IF($S15&lt;8,TRUE,)</formula>
    </cfRule>
  </conditionalFormatting>
  <conditionalFormatting sqref="L15:L16">
    <cfRule type="expression" dxfId="1207" priority="41" stopIfTrue="1">
      <formula>IF($S15&lt;7,TRUE,)</formula>
    </cfRule>
  </conditionalFormatting>
  <conditionalFormatting sqref="K15:K16">
    <cfRule type="expression" dxfId="1206" priority="40" stopIfTrue="1">
      <formula>IF($S15&lt;6,TRUE,)</formula>
    </cfRule>
  </conditionalFormatting>
  <conditionalFormatting sqref="J15:J16">
    <cfRule type="expression" dxfId="1205" priority="39" stopIfTrue="1">
      <formula>IF($S15&lt;5,TRUE,)</formula>
    </cfRule>
  </conditionalFormatting>
  <conditionalFormatting sqref="I15:I16">
    <cfRule type="expression" dxfId="1204" priority="38" stopIfTrue="1">
      <formula>IF($S15&lt;4,TRUE,)</formula>
    </cfRule>
  </conditionalFormatting>
  <conditionalFormatting sqref="H15:H16">
    <cfRule type="expression" dxfId="1203" priority="37" stopIfTrue="1">
      <formula>IF($S15&lt;3,TRUE,)</formula>
    </cfRule>
  </conditionalFormatting>
  <conditionalFormatting sqref="G15:G16">
    <cfRule type="expression" dxfId="1202" priority="36" stopIfTrue="1">
      <formula>IF($S15&lt;2,TRUE,)</formula>
    </cfRule>
  </conditionalFormatting>
  <conditionalFormatting sqref="F15:F16">
    <cfRule type="expression" dxfId="1201" priority="35" stopIfTrue="1">
      <formula>IF($S15&lt;1,TRUE,)</formula>
    </cfRule>
  </conditionalFormatting>
  <conditionalFormatting sqref="O15:O16">
    <cfRule type="expression" dxfId="1200" priority="34" stopIfTrue="1">
      <formula>IF($S15&lt;10,TRUE,)</formula>
    </cfRule>
  </conditionalFormatting>
  <conditionalFormatting sqref="N22:N23">
    <cfRule type="expression" dxfId="1199" priority="32" stopIfTrue="1">
      <formula>IF($S22&lt;9,TRUE,)</formula>
    </cfRule>
  </conditionalFormatting>
  <conditionalFormatting sqref="M22:M23">
    <cfRule type="expression" dxfId="1198" priority="31" stopIfTrue="1">
      <formula>IF($S22&lt;8,TRUE,)</formula>
    </cfRule>
  </conditionalFormatting>
  <conditionalFormatting sqref="L22:L23">
    <cfRule type="expression" dxfId="1197" priority="30" stopIfTrue="1">
      <formula>IF($S22&lt;7,TRUE,)</formula>
    </cfRule>
  </conditionalFormatting>
  <conditionalFormatting sqref="K22:K23">
    <cfRule type="expression" dxfId="1196" priority="29" stopIfTrue="1">
      <formula>IF($S22&lt;6,TRUE,)</formula>
    </cfRule>
  </conditionalFormatting>
  <conditionalFormatting sqref="J22:J23">
    <cfRule type="expression" dxfId="1195" priority="28" stopIfTrue="1">
      <formula>IF($S22&lt;5,TRUE,)</formula>
    </cfRule>
  </conditionalFormatting>
  <conditionalFormatting sqref="I22:I23">
    <cfRule type="expression" dxfId="1194" priority="27" stopIfTrue="1">
      <formula>IF($S22&lt;4,TRUE,)</formula>
    </cfRule>
  </conditionalFormatting>
  <conditionalFormatting sqref="H22:H23">
    <cfRule type="expression" dxfId="1193" priority="26" stopIfTrue="1">
      <formula>IF($S22&lt;3,TRUE,)</formula>
    </cfRule>
  </conditionalFormatting>
  <conditionalFormatting sqref="G22:G23">
    <cfRule type="expression" dxfId="1192" priority="25" stopIfTrue="1">
      <formula>IF($S22&lt;2,TRUE,)</formula>
    </cfRule>
  </conditionalFormatting>
  <conditionalFormatting sqref="F22:F23">
    <cfRule type="expression" dxfId="1191" priority="24" stopIfTrue="1">
      <formula>IF($S22&lt;1,TRUE,)</formula>
    </cfRule>
  </conditionalFormatting>
  <conditionalFormatting sqref="O22:O23">
    <cfRule type="expression" dxfId="1190" priority="23" stopIfTrue="1">
      <formula>IF($S22&lt;10,TRUE,)</formula>
    </cfRule>
  </conditionalFormatting>
  <conditionalFormatting sqref="N17:N18">
    <cfRule type="expression" dxfId="1189" priority="21" stopIfTrue="1">
      <formula>IF($S17&lt;9,TRUE,)</formula>
    </cfRule>
  </conditionalFormatting>
  <conditionalFormatting sqref="M17:M18">
    <cfRule type="expression" dxfId="1188" priority="20" stopIfTrue="1">
      <formula>IF($S17&lt;8,TRUE,)</formula>
    </cfRule>
  </conditionalFormatting>
  <conditionalFormatting sqref="L17:L18">
    <cfRule type="expression" dxfId="1187" priority="19" stopIfTrue="1">
      <formula>IF($S17&lt;7,TRUE,)</formula>
    </cfRule>
  </conditionalFormatting>
  <conditionalFormatting sqref="K17:K18">
    <cfRule type="expression" dxfId="1186" priority="18" stopIfTrue="1">
      <formula>IF($S17&lt;6,TRUE,)</formula>
    </cfRule>
  </conditionalFormatting>
  <conditionalFormatting sqref="J17:J18">
    <cfRule type="expression" dxfId="1185" priority="17" stopIfTrue="1">
      <formula>IF($S17&lt;5,TRUE,)</formula>
    </cfRule>
  </conditionalFormatting>
  <conditionalFormatting sqref="I17:I18">
    <cfRule type="expression" dxfId="1184" priority="16" stopIfTrue="1">
      <formula>IF($S17&lt;4,TRUE,)</formula>
    </cfRule>
  </conditionalFormatting>
  <conditionalFormatting sqref="H17:H18">
    <cfRule type="expression" dxfId="1183" priority="15" stopIfTrue="1">
      <formula>IF($S17&lt;3,TRUE,)</formula>
    </cfRule>
  </conditionalFormatting>
  <conditionalFormatting sqref="G17:G18">
    <cfRule type="expression" dxfId="1182" priority="14" stopIfTrue="1">
      <formula>IF($S17&lt;2,TRUE,)</formula>
    </cfRule>
  </conditionalFormatting>
  <conditionalFormatting sqref="F17:F18">
    <cfRule type="expression" dxfId="1181" priority="13" stopIfTrue="1">
      <formula>IF($S17&lt;1,TRUE,)</formula>
    </cfRule>
  </conditionalFormatting>
  <conditionalFormatting sqref="O17:O18">
    <cfRule type="expression" dxfId="1180" priority="12" stopIfTrue="1">
      <formula>IF($S17&lt;10,TRUE,)</formula>
    </cfRule>
  </conditionalFormatting>
  <conditionalFormatting sqref="N24:N25">
    <cfRule type="expression" dxfId="1179" priority="10" stopIfTrue="1">
      <formula>IF($S24&lt;9,TRUE,)</formula>
    </cfRule>
  </conditionalFormatting>
  <conditionalFormatting sqref="M24:M25">
    <cfRule type="expression" dxfId="1178" priority="9" stopIfTrue="1">
      <formula>IF($S24&lt;8,TRUE,)</formula>
    </cfRule>
  </conditionalFormatting>
  <conditionalFormatting sqref="L24:L25">
    <cfRule type="expression" dxfId="1177" priority="8" stopIfTrue="1">
      <formula>IF($S24&lt;7,TRUE,)</formula>
    </cfRule>
  </conditionalFormatting>
  <conditionalFormatting sqref="K24:K25">
    <cfRule type="expression" dxfId="1176" priority="7" stopIfTrue="1">
      <formula>IF($S24&lt;6,TRUE,)</formula>
    </cfRule>
  </conditionalFormatting>
  <conditionalFormatting sqref="J24:J25">
    <cfRule type="expression" dxfId="1175" priority="6" stopIfTrue="1">
      <formula>IF($S24&lt;5,TRUE,)</formula>
    </cfRule>
  </conditionalFormatting>
  <conditionalFormatting sqref="I24:I25">
    <cfRule type="expression" dxfId="1174" priority="5" stopIfTrue="1">
      <formula>IF($S24&lt;4,TRUE,)</formula>
    </cfRule>
  </conditionalFormatting>
  <conditionalFormatting sqref="H24:H25">
    <cfRule type="expression" dxfId="1173" priority="4" stopIfTrue="1">
      <formula>IF($S24&lt;3,TRUE,)</formula>
    </cfRule>
  </conditionalFormatting>
  <conditionalFormatting sqref="G24:G25">
    <cfRule type="expression" dxfId="1172" priority="3" stopIfTrue="1">
      <formula>IF($S24&lt;2,TRUE,)</formula>
    </cfRule>
  </conditionalFormatting>
  <conditionalFormatting sqref="F24:F25">
    <cfRule type="expression" dxfId="1171" priority="2" stopIfTrue="1">
      <formula>IF($S24&lt;1,TRUE,)</formula>
    </cfRule>
  </conditionalFormatting>
  <conditionalFormatting sqref="O24:O25">
    <cfRule type="expression" dxfId="1170" priority="1" stopIfTrue="1">
      <formula>IF($S24&lt;10,TRUE,)</formula>
    </cfRule>
  </conditionalFormatting>
  <dataValidations xWindow="963" yWindow="570" count="11">
    <dataValidation type="list" allowBlank="1" showInputMessage="1" showErrorMessage="1" sqref="P27">
      <formula1>R.DDL_DEQStaffRank</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_x000a_" sqref="D28:P28"/>
    <dataValidation type="list" allowBlank="1" showInputMessage="1" showErrorMessage="1" promptTitle="DROP DOWN LIST" prompt="Select a range of hours from the drop down list that best describes how involved this resource will be in IMPLEMENTING this project." sqref="E22:E25">
      <formula1>R.DDL_DEQResourcesInvolved</formula1>
    </dataValidation>
    <dataValidation type="list" allowBlank="1" showInputMessage="1" showErrorMessage="1" promptTitle="DROP DOWN LIST" prompt="Select a range of hours from the drop down list that best describes how involved this resource will be in DEVELOPING this project." sqref="E15:E18">
      <formula1>R.DDL_DEQResourcesInvolved</formula1>
    </dataValidation>
    <dataValidation allowBlank="1" showInputMessage="1" showErrorMessage="1" promptTitle="ENTER NAME" prompt="Enter the name of the STAFF or FUNCTION involved with DEVELOPING the project._x000a_" sqref="D15:D18"/>
    <dataValidation allowBlank="1" showInputMessage="1" showErrorMessage="1" promptTitle="ENTER NAME" prompt="Enter the name of the STAFF or FUNCTION involved with IMPLEMENTING the project._x000a_" sqref="D22:D25"/>
    <dataValidation type="list" allowBlank="1" showInputMessage="1" showErrorMessage="1" promptTitle="DROP DOWN LIST" prompt="Select whether the named person is staff, a manager or an administrator. Leave this cell blank if you entered a FUNCTION name or left the name blank." sqref="P15:P18 P22:P25">
      <formula1>R.DDL_DEQStaffRank</formula1>
    </dataValidation>
    <dataValidation allowBlank="1" showInputMessage="1" showErrorMessage="1" promptTitle="DESCRIBE INVOLVEMENT" prompt="_x000a_Describe how this resource would be involved with the proposal during the implementation phase of the rule." sqref="D20:P20"/>
    <dataValidation allowBlank="1" showInputMessage="1" showErrorMessage="1" promptTitle="DESCRIBE INVOLVEMENT" prompt="_x000a_Describe how this resource would be involved with the proposal during the development phase of the rule." sqref="D13:P13"/>
    <dataValidation type="textLength" allowBlank="1" showInputMessage="1" showErrorMessage="1" sqref="E26:P26">
      <formula1>0</formula1>
      <formula2>5000</formula2>
    </dataValidation>
    <dataValidation allowBlank="1" showErrorMessage="1" sqref="D7:P8"/>
  </dataValidations>
  <hyperlinks>
    <hyperlink ref="A1" location="R.0Header" display="⧀ Go to Content"/>
    <hyperlink ref="A2" r:id="rId1"/>
    <hyperlink ref="A29" location="R.12Header" display="Go to Top"/>
  </hyperlinks>
  <pageMargins left="0.7" right="0.7" top="0.75" bottom="0.75" header="0.3" footer="0.3"/>
  <pageSetup scale="87" orientation="portrait" r:id="rId2"/>
  <drawing r:id="rId3"/>
  <legacyDrawing r:id="rId4"/>
</worksheet>
</file>

<file path=xl/worksheets/sheet17.xml><?xml version="1.0" encoding="utf-8"?>
<worksheet xmlns="http://schemas.openxmlformats.org/spreadsheetml/2006/main" xmlns:r="http://schemas.openxmlformats.org/officeDocument/2006/relationships">
  <sheetPr codeName="Sheet18"/>
  <dimension ref="A1:AG71"/>
  <sheetViews>
    <sheetView showGridLines="0" zoomScaleNormal="100" workbookViewId="0">
      <selection activeCell="D2" sqref="D2"/>
    </sheetView>
  </sheetViews>
  <sheetFormatPr defaultColWidth="9" defaultRowHeight="20.25" outlineLevelRow="1" outlineLevelCol="1"/>
  <cols>
    <col min="1" max="1" width="13.75" style="64" customWidth="1"/>
    <col min="2" max="2" width="3.625" style="64" customWidth="1"/>
    <col min="3" max="3" width="3.625" style="44" customWidth="1"/>
    <col min="4" max="4" width="40.5" style="161" customWidth="1"/>
    <col min="5" max="5" width="15.75" style="161" customWidth="1"/>
    <col min="6" max="15" width="1.625" style="161" customWidth="1"/>
    <col min="16" max="16" width="15.75" style="161" customWidth="1"/>
    <col min="17" max="17" width="3.625" style="161" customWidth="1"/>
    <col min="18" max="18" width="3.625" style="64" customWidth="1"/>
    <col min="19" max="19" width="9" style="113" hidden="1" customWidth="1" outlineLevel="1"/>
    <col min="20" max="20" width="14.875" style="64" hidden="1" customWidth="1" outlineLevel="1"/>
    <col min="21" max="21" width="14.625" style="64" hidden="1" customWidth="1" outlineLevel="1"/>
    <col min="22" max="22" width="30.625" style="64" customWidth="1" collapsed="1"/>
    <col min="23" max="23" width="16.5" style="64" customWidth="1"/>
    <col min="24" max="24" width="18" style="64" customWidth="1"/>
    <col min="25" max="32" width="31.125" style="64" customWidth="1"/>
    <col min="33" max="33" width="31.125" style="161" customWidth="1"/>
    <col min="34" max="16384" width="9" style="161"/>
  </cols>
  <sheetData>
    <row r="1" spans="1:33" s="64" customFormat="1" ht="20.25" customHeight="1">
      <c r="A1" s="350" t="s">
        <v>104</v>
      </c>
      <c r="B1" s="334"/>
      <c r="C1" s="334"/>
      <c r="D1" s="334"/>
      <c r="E1" s="334"/>
      <c r="F1" s="334"/>
      <c r="G1" s="334"/>
      <c r="H1" s="334"/>
      <c r="I1" s="334"/>
      <c r="J1" s="334"/>
      <c r="K1" s="334"/>
      <c r="L1" s="334"/>
      <c r="M1" s="334"/>
      <c r="N1" s="334"/>
      <c r="O1" s="334"/>
      <c r="P1" s="334"/>
      <c r="Q1" s="334"/>
      <c r="R1" s="334"/>
      <c r="S1" s="113"/>
    </row>
    <row r="2" spans="1:33" s="6" customFormat="1" ht="30" customHeight="1" thickBot="1">
      <c r="A2" s="350" t="s">
        <v>107</v>
      </c>
      <c r="B2" s="334"/>
      <c r="C2" s="152">
        <v>13</v>
      </c>
      <c r="D2" s="153" t="s">
        <v>77</v>
      </c>
      <c r="E2" s="713" t="str">
        <f>R.1MediaAndLongName</f>
        <v>CP Division 12 Updates</v>
      </c>
      <c r="F2" s="713"/>
      <c r="G2" s="713"/>
      <c r="H2" s="713"/>
      <c r="I2" s="713"/>
      <c r="J2" s="713"/>
      <c r="K2" s="713"/>
      <c r="L2" s="713"/>
      <c r="M2" s="713"/>
      <c r="N2" s="713"/>
      <c r="O2" s="713"/>
      <c r="P2" s="713"/>
      <c r="Q2" s="154"/>
      <c r="R2" s="334"/>
      <c r="S2" s="66"/>
      <c r="T2" s="66"/>
      <c r="U2" s="66"/>
      <c r="V2" s="120" t="s">
        <v>0</v>
      </c>
      <c r="W2" s="64"/>
      <c r="X2" s="64"/>
      <c r="Y2" s="64"/>
      <c r="Z2" s="64"/>
      <c r="AA2" s="64"/>
      <c r="AB2" s="64"/>
      <c r="AC2" s="64"/>
      <c r="AD2" s="66"/>
      <c r="AE2" s="66"/>
      <c r="AF2" s="66"/>
    </row>
    <row r="3" spans="1:33" s="6" customFormat="1" ht="20.25" customHeight="1" thickTop="1">
      <c r="A3" s="114"/>
      <c r="B3" s="334"/>
      <c r="C3" s="155"/>
      <c r="D3" s="750" t="s">
        <v>84</v>
      </c>
      <c r="E3" s="750"/>
      <c r="F3" s="103"/>
      <c r="G3" s="103"/>
      <c r="H3" s="103"/>
      <c r="I3" s="103"/>
      <c r="J3" s="103"/>
      <c r="K3" s="103"/>
      <c r="L3" s="103"/>
      <c r="M3" s="103"/>
      <c r="N3" s="103"/>
      <c r="O3" s="103"/>
      <c r="P3" s="103"/>
      <c r="Q3" s="156"/>
      <c r="R3" s="334"/>
      <c r="S3" s="119" t="str">
        <f>"R."&amp;$C$2&amp;"StaffCount"</f>
        <v>R.13StaffCount</v>
      </c>
      <c r="T3" s="119" t="str">
        <f>"R."&amp;$C$2&amp;"LowHrs"</f>
        <v>R.13LowHrs</v>
      </c>
      <c r="U3" s="349" t="str">
        <f>"R."&amp;$C$2&amp;"HighHrs"</f>
        <v>R.13HighHrs</v>
      </c>
      <c r="V3" s="120"/>
      <c r="W3" s="64"/>
      <c r="X3" s="64"/>
      <c r="Y3" s="64"/>
      <c r="Z3" s="64"/>
      <c r="AA3" s="64"/>
      <c r="AB3" s="64"/>
      <c r="AC3" s="64"/>
      <c r="AD3" s="66"/>
      <c r="AE3" s="66"/>
      <c r="AF3" s="66"/>
    </row>
    <row r="4" spans="1:33" s="6" customFormat="1" ht="20.25" customHeight="1">
      <c r="A4" s="114"/>
      <c r="B4" s="334"/>
      <c r="C4" s="155"/>
      <c r="D4" s="96"/>
      <c r="E4" s="96"/>
      <c r="F4" s="82"/>
      <c r="G4" s="164"/>
      <c r="H4" s="164"/>
      <c r="I4" s="164"/>
      <c r="J4" s="97"/>
      <c r="K4" s="13"/>
      <c r="L4" s="13"/>
      <c r="M4" s="699" t="s">
        <v>57</v>
      </c>
      <c r="N4" s="699"/>
      <c r="O4" s="699"/>
      <c r="P4" s="699"/>
      <c r="Q4" s="156"/>
      <c r="R4" s="334"/>
      <c r="S4" s="121">
        <f>COUNTIFS(S16:S58,"&gt;0")</f>
        <v>0</v>
      </c>
      <c r="T4" s="124">
        <f>SUM(T16:T58)</f>
        <v>0</v>
      </c>
      <c r="U4" s="124">
        <f>SUM(U16:U58)</f>
        <v>0</v>
      </c>
      <c r="V4" s="120"/>
      <c r="W4" s="64"/>
      <c r="X4" s="64"/>
      <c r="Y4" s="64"/>
      <c r="Z4" s="64"/>
      <c r="AA4" s="64"/>
      <c r="AB4" s="64"/>
      <c r="AC4" s="64"/>
      <c r="AD4" s="66"/>
      <c r="AE4" s="66"/>
      <c r="AF4" s="66"/>
    </row>
    <row r="5" spans="1:33" s="6" customFormat="1" ht="20.25" customHeight="1">
      <c r="A5" s="114"/>
      <c r="B5" s="334"/>
      <c r="C5" s="155"/>
      <c r="D5" s="494" t="s">
        <v>55</v>
      </c>
      <c r="E5" s="81">
        <f>S4</f>
        <v>0</v>
      </c>
      <c r="F5" s="700" t="s">
        <v>54</v>
      </c>
      <c r="G5" s="700"/>
      <c r="H5" s="700"/>
      <c r="I5" s="700"/>
      <c r="J5" s="700"/>
      <c r="K5" s="700"/>
      <c r="L5" s="700"/>
      <c r="M5" s="701" t="str">
        <f>S5</f>
        <v>0</v>
      </c>
      <c r="N5" s="701"/>
      <c r="O5" s="701"/>
      <c r="P5" s="701"/>
      <c r="Q5" s="156"/>
      <c r="R5" s="334"/>
      <c r="S5" s="122" t="str">
        <f>IF(R.13StaffCount=0,"0",IF(R.13LowHrs=0,"0-"&amp;TEXT(R.13HighHrs,"#,###"),TEXT(R.13LowHrs,"#,###")&amp;"-"&amp;TEXT(R.13HighHrs,"#,###")))</f>
        <v>0</v>
      </c>
      <c r="T5" s="119" t="str">
        <f>"R."&amp;$C$2&amp;"LowDollars"</f>
        <v>R.13LowDollars</v>
      </c>
      <c r="U5" s="349" t="str">
        <f>"R."&amp;$C$2&amp;"HighDollars"</f>
        <v>R.13HighDollars</v>
      </c>
      <c r="V5" s="120"/>
      <c r="W5" s="64"/>
      <c r="X5" s="64"/>
      <c r="Y5" s="64"/>
      <c r="Z5" s="64"/>
      <c r="AA5" s="64"/>
      <c r="AB5" s="64"/>
      <c r="AC5" s="64"/>
      <c r="AD5" s="66"/>
      <c r="AE5" s="66"/>
      <c r="AF5" s="66"/>
    </row>
    <row r="6" spans="1:33" s="6" customFormat="1" ht="20.25" customHeight="1">
      <c r="A6" s="114"/>
      <c r="B6" s="334"/>
      <c r="C6" s="155"/>
      <c r="D6" s="494" t="s">
        <v>68</v>
      </c>
      <c r="E6" s="98">
        <f>R.AvgHrDEQCost</f>
        <v>58</v>
      </c>
      <c r="F6" s="700" t="s">
        <v>58</v>
      </c>
      <c r="G6" s="700"/>
      <c r="H6" s="700"/>
      <c r="I6" s="700"/>
      <c r="J6" s="700"/>
      <c r="K6" s="700"/>
      <c r="L6" s="700"/>
      <c r="M6" s="702" t="str">
        <f>S6</f>
        <v>$0</v>
      </c>
      <c r="N6" s="702"/>
      <c r="O6" s="702"/>
      <c r="P6" s="702"/>
      <c r="Q6" s="156"/>
      <c r="R6" s="334"/>
      <c r="S6" s="122" t="str">
        <f>IF(R.13StaffCount=0,"$0",IF(R.13LowDollars=0,"$0-"&amp;TEXT(R.13HighDollars,"#,###"),TEXT(R.13LowDollars,"$#,###")&amp;"-"&amp;TEXT(R.13HighDollars,"#,###")))</f>
        <v>$0</v>
      </c>
      <c r="T6" s="124">
        <f>T4*E6</f>
        <v>0</v>
      </c>
      <c r="U6" s="124">
        <f>U4*E6</f>
        <v>0</v>
      </c>
      <c r="V6" s="120"/>
      <c r="W6" s="64"/>
      <c r="X6" s="64"/>
      <c r="Y6" s="64"/>
      <c r="Z6" s="64"/>
      <c r="AA6" s="64"/>
      <c r="AB6" s="64"/>
      <c r="AC6" s="64"/>
      <c r="AD6" s="66"/>
      <c r="AE6" s="66"/>
      <c r="AF6" s="66"/>
    </row>
    <row r="7" spans="1:33" s="6" customFormat="1" ht="8.25" customHeight="1">
      <c r="A7" s="114"/>
      <c r="B7" s="334"/>
      <c r="C7" s="155"/>
      <c r="D7" s="110" t="s">
        <v>0</v>
      </c>
      <c r="E7" s="100"/>
      <c r="F7" s="99"/>
      <c r="G7" s="99"/>
      <c r="H7" s="99"/>
      <c r="I7" s="99"/>
      <c r="J7" s="99"/>
      <c r="K7" s="99"/>
      <c r="L7" s="99"/>
      <c r="M7" s="99"/>
      <c r="N7" s="99"/>
      <c r="O7" s="99"/>
      <c r="P7" s="99"/>
      <c r="Q7" s="156"/>
      <c r="R7" s="334"/>
      <c r="S7" s="66"/>
      <c r="T7" s="66"/>
      <c r="U7" s="66"/>
      <c r="V7" s="120"/>
      <c r="W7" s="64"/>
      <c r="X7" s="64"/>
      <c r="Y7" s="64"/>
      <c r="Z7" s="64"/>
      <c r="AA7" s="64"/>
      <c r="AB7" s="64"/>
      <c r="AC7" s="64"/>
      <c r="AD7" s="66"/>
      <c r="AE7" s="66"/>
      <c r="AF7" s="66"/>
    </row>
    <row r="8" spans="1:33" s="6" customFormat="1" ht="105" customHeight="1">
      <c r="A8" s="316"/>
      <c r="B8" s="334"/>
      <c r="C8" s="155"/>
      <c r="D8" s="730" t="s">
        <v>250</v>
      </c>
      <c r="E8" s="731"/>
      <c r="F8" s="731"/>
      <c r="G8" s="731"/>
      <c r="H8" s="731"/>
      <c r="I8" s="731"/>
      <c r="J8" s="731"/>
      <c r="K8" s="731"/>
      <c r="L8" s="731"/>
      <c r="M8" s="731"/>
      <c r="N8" s="731"/>
      <c r="O8" s="731"/>
      <c r="P8" s="732"/>
      <c r="Q8" s="156"/>
      <c r="R8" s="334"/>
      <c r="S8"/>
      <c r="T8" s="493"/>
      <c r="U8" s="493"/>
      <c r="V8" s="120"/>
      <c r="W8" s="436"/>
      <c r="X8" s="436"/>
      <c r="Y8" s="436"/>
      <c r="Z8" s="436"/>
      <c r="AA8" s="436"/>
      <c r="AB8" s="436"/>
      <c r="AC8" s="436"/>
      <c r="AD8" s="66"/>
      <c r="AE8" s="66"/>
      <c r="AF8" s="66"/>
    </row>
    <row r="9" spans="1:33" s="6" customFormat="1" ht="20.25" customHeight="1">
      <c r="A9" s="316"/>
      <c r="B9" s="334"/>
      <c r="C9" s="155"/>
      <c r="D9" s="748" t="s">
        <v>506</v>
      </c>
      <c r="E9" s="748"/>
      <c r="F9" s="748"/>
      <c r="G9" s="748"/>
      <c r="H9" s="748"/>
      <c r="I9" s="748"/>
      <c r="J9" s="748"/>
      <c r="K9" s="748"/>
      <c r="L9" s="748"/>
      <c r="M9" s="748"/>
      <c r="N9" s="748"/>
      <c r="O9" s="748"/>
      <c r="P9" s="748"/>
      <c r="Q9" s="156"/>
      <c r="R9" s="334"/>
      <c r="T9" s="493"/>
      <c r="U9" s="493"/>
      <c r="V9" s="120"/>
      <c r="W9" s="436"/>
      <c r="X9" s="436"/>
      <c r="Y9" s="436"/>
      <c r="Z9" s="436"/>
      <c r="AA9" s="436"/>
      <c r="AB9" s="436"/>
      <c r="AC9" s="436"/>
      <c r="AD9" s="66"/>
      <c r="AE9" s="66"/>
      <c r="AF9" s="66"/>
    </row>
    <row r="10" spans="1:33" s="28" customFormat="1" ht="15.75" customHeight="1">
      <c r="A10" s="345"/>
      <c r="B10" s="440"/>
      <c r="C10" s="138"/>
      <c r="D10" s="745" t="s">
        <v>469</v>
      </c>
      <c r="E10" s="746"/>
      <c r="F10" s="746"/>
      <c r="G10" s="746"/>
      <c r="H10" s="746"/>
      <c r="I10" s="746"/>
      <c r="J10" s="746"/>
      <c r="K10" s="746"/>
      <c r="L10" s="746"/>
      <c r="M10" s="746"/>
      <c r="N10" s="746"/>
      <c r="O10" s="746"/>
      <c r="P10" s="747"/>
      <c r="Q10" s="139"/>
      <c r="R10" s="440"/>
      <c r="S10" s="463"/>
      <c r="T10" s="463"/>
      <c r="U10" s="441"/>
      <c r="V10" s="438"/>
      <c r="W10" s="438"/>
      <c r="X10" s="438"/>
      <c r="Y10" s="438"/>
      <c r="Z10" s="438"/>
      <c r="AA10" s="438"/>
      <c r="AB10" s="438"/>
      <c r="AC10" s="438"/>
      <c r="AD10" s="130"/>
      <c r="AE10" s="130"/>
      <c r="AF10" s="130"/>
      <c r="AG10" s="130"/>
    </row>
    <row r="11" spans="1:33" s="69" customFormat="1" ht="8.25" customHeight="1">
      <c r="A11" s="115"/>
      <c r="B11" s="334"/>
      <c r="C11" s="404"/>
      <c r="D11" s="405"/>
      <c r="E11" s="405"/>
      <c r="F11" s="405"/>
      <c r="G11" s="405"/>
      <c r="H11" s="405"/>
      <c r="I11" s="405"/>
      <c r="J11" s="405"/>
      <c r="K11" s="405"/>
      <c r="L11" s="405"/>
      <c r="M11" s="405"/>
      <c r="N11" s="405"/>
      <c r="O11" s="405"/>
      <c r="P11" s="405"/>
      <c r="Q11" s="406"/>
      <c r="R11" s="334"/>
      <c r="S11" s="125"/>
      <c r="T11" s="125"/>
      <c r="U11" s="125"/>
      <c r="V11" s="126"/>
      <c r="W11" s="126"/>
      <c r="X11" s="126"/>
      <c r="Y11" s="126"/>
      <c r="Z11" s="126"/>
      <c r="AA11" s="126"/>
      <c r="AB11" s="126"/>
      <c r="AC11" s="126"/>
      <c r="AD11" s="125"/>
      <c r="AE11" s="125"/>
      <c r="AF11" s="125"/>
    </row>
    <row r="12" spans="1:33" s="33" customFormat="1" ht="30" customHeight="1">
      <c r="A12" s="350" t="s">
        <v>107</v>
      </c>
      <c r="B12" s="334"/>
      <c r="C12" s="480" t="s">
        <v>0</v>
      </c>
      <c r="D12" s="304" t="s">
        <v>128</v>
      </c>
      <c r="E12" s="94"/>
      <c r="F12" s="94"/>
      <c r="G12" s="94"/>
      <c r="H12" s="94"/>
      <c r="I12" s="94"/>
      <c r="J12" s="94"/>
      <c r="K12" s="94"/>
      <c r="L12" s="94"/>
      <c r="M12" s="94"/>
      <c r="N12" s="94"/>
      <c r="O12" s="94"/>
      <c r="P12" s="94"/>
      <c r="Q12" s="137"/>
      <c r="R12" s="334"/>
      <c r="S12" s="128"/>
      <c r="T12" s="127"/>
      <c r="U12" s="127"/>
      <c r="V12" s="129"/>
      <c r="W12" s="129"/>
      <c r="X12" s="129"/>
      <c r="Y12" s="129"/>
      <c r="Z12" s="129"/>
      <c r="AA12" s="129"/>
      <c r="AB12" s="129"/>
      <c r="AC12" s="129"/>
      <c r="AD12" s="127"/>
      <c r="AE12" s="127"/>
      <c r="AF12" s="127"/>
    </row>
    <row r="13" spans="1:33" s="33" customFormat="1" ht="15.75" customHeight="1">
      <c r="A13" s="116"/>
      <c r="B13" s="334"/>
      <c r="C13" s="232"/>
      <c r="D13" s="443" t="s">
        <v>53</v>
      </c>
      <c r="E13" s="94"/>
      <c r="F13" s="94"/>
      <c r="G13" s="94"/>
      <c r="H13" s="94"/>
      <c r="I13" s="94"/>
      <c r="J13" s="94"/>
      <c r="K13" s="94"/>
      <c r="L13" s="94"/>
      <c r="M13" s="94"/>
      <c r="N13" s="94"/>
      <c r="O13" s="94"/>
      <c r="P13" s="94"/>
      <c r="Q13" s="137"/>
      <c r="R13" s="334"/>
      <c r="S13" s="242"/>
      <c r="T13" s="127"/>
      <c r="U13" s="127"/>
      <c r="V13" s="230"/>
      <c r="W13" s="230"/>
      <c r="X13" s="230"/>
      <c r="Y13" s="230"/>
      <c r="Z13" s="230"/>
      <c r="AA13" s="230"/>
      <c r="AB13" s="230"/>
      <c r="AC13" s="230"/>
      <c r="AD13" s="127"/>
      <c r="AE13" s="127"/>
      <c r="AF13" s="127"/>
    </row>
    <row r="14" spans="1:33" s="28" customFormat="1" ht="15.75" customHeight="1">
      <c r="A14" s="117"/>
      <c r="B14" s="334"/>
      <c r="C14" s="138"/>
      <c r="D14" s="719"/>
      <c r="E14" s="720"/>
      <c r="F14" s="720"/>
      <c r="G14" s="720"/>
      <c r="H14" s="720"/>
      <c r="I14" s="720"/>
      <c r="J14" s="720"/>
      <c r="K14" s="720"/>
      <c r="L14" s="720"/>
      <c r="M14" s="720"/>
      <c r="N14" s="720"/>
      <c r="O14" s="720"/>
      <c r="P14" s="721"/>
      <c r="Q14" s="139"/>
      <c r="R14" s="334"/>
      <c r="S14" s="131"/>
      <c r="T14" s="130"/>
      <c r="U14" s="130"/>
      <c r="V14" s="64"/>
      <c r="W14" s="64"/>
      <c r="X14" s="64"/>
      <c r="Y14" s="64"/>
      <c r="Z14" s="64"/>
      <c r="AA14" s="64"/>
      <c r="AB14" s="64"/>
      <c r="AC14" s="64"/>
      <c r="AD14" s="130"/>
      <c r="AE14" s="130"/>
      <c r="AF14" s="130"/>
    </row>
    <row r="15" spans="1:33" s="33" customFormat="1" ht="15.75" customHeight="1">
      <c r="A15" s="116"/>
      <c r="B15" s="334"/>
      <c r="C15" s="233"/>
      <c r="D15" s="497" t="s">
        <v>60</v>
      </c>
      <c r="E15" s="393" t="s">
        <v>18</v>
      </c>
      <c r="F15" s="733" t="s">
        <v>19</v>
      </c>
      <c r="G15" s="733"/>
      <c r="H15" s="733"/>
      <c r="I15" s="733"/>
      <c r="J15" s="733"/>
      <c r="K15" s="733"/>
      <c r="L15" s="733"/>
      <c r="M15" s="733"/>
      <c r="N15" s="733"/>
      <c r="O15" s="733"/>
      <c r="P15" s="393" t="s">
        <v>20</v>
      </c>
      <c r="Q15" s="137"/>
      <c r="R15" s="334"/>
      <c r="S15" s="228"/>
      <c r="T15" s="229"/>
      <c r="U15" s="229"/>
      <c r="V15" s="230"/>
      <c r="W15" s="230"/>
      <c r="X15" s="230"/>
      <c r="Y15" s="230"/>
      <c r="Z15" s="230"/>
      <c r="AA15" s="230"/>
      <c r="AB15" s="230"/>
      <c r="AC15" s="230"/>
      <c r="AD15" s="127"/>
      <c r="AE15" s="127"/>
      <c r="AF15" s="127"/>
    </row>
    <row r="16" spans="1:33" s="28" customFormat="1" ht="15.75" customHeight="1">
      <c r="A16" s="117"/>
      <c r="B16" s="334"/>
      <c r="C16" s="138"/>
      <c r="D16" s="542"/>
      <c r="E16" s="30" t="s">
        <v>229</v>
      </c>
      <c r="F16" s="71">
        <v>1</v>
      </c>
      <c r="G16" s="72">
        <v>2</v>
      </c>
      <c r="H16" s="73">
        <v>3</v>
      </c>
      <c r="I16" s="74">
        <v>4</v>
      </c>
      <c r="J16" s="75">
        <v>5</v>
      </c>
      <c r="K16" s="76">
        <v>6</v>
      </c>
      <c r="L16" s="77">
        <v>7</v>
      </c>
      <c r="M16" s="78">
        <v>8</v>
      </c>
      <c r="N16" s="79">
        <v>9</v>
      </c>
      <c r="O16" s="80">
        <v>10</v>
      </c>
      <c r="P16" s="32"/>
      <c r="Q16" s="139"/>
      <c r="R16" s="334"/>
      <c r="S16" s="133">
        <f>VLOOKUP($E16,R.VL_DEQResourcesInvolved,2,FALSE)</f>
        <v>0</v>
      </c>
      <c r="T16" s="121">
        <f>VLOOKUP($E16,R.VL_DEQResourcesInvolved,3,FALSE)</f>
        <v>0</v>
      </c>
      <c r="U16" s="121">
        <f>IF(S16=10,T16,VLOOKUP($E16,R.VL_DEQResourcesInvolved,4,FALSE))</f>
        <v>0</v>
      </c>
      <c r="V16" s="575" t="s">
        <v>554</v>
      </c>
      <c r="W16" s="64"/>
      <c r="X16" s="64"/>
      <c r="Y16" s="64"/>
      <c r="Z16" s="64"/>
      <c r="AA16" s="64"/>
      <c r="AB16" s="64"/>
      <c r="AC16" s="64"/>
      <c r="AD16" s="130"/>
      <c r="AE16" s="130"/>
      <c r="AF16" s="130"/>
    </row>
    <row r="17" spans="1:32" s="28" customFormat="1" ht="15.75" hidden="1" customHeight="1" outlineLevel="1">
      <c r="A17" s="117"/>
      <c r="B17" s="334"/>
      <c r="C17" s="138"/>
      <c r="D17" s="542"/>
      <c r="E17" s="30" t="s">
        <v>229</v>
      </c>
      <c r="F17" s="71">
        <v>1</v>
      </c>
      <c r="G17" s="72">
        <v>2</v>
      </c>
      <c r="H17" s="73">
        <v>3</v>
      </c>
      <c r="I17" s="74">
        <v>4</v>
      </c>
      <c r="J17" s="75">
        <v>5</v>
      </c>
      <c r="K17" s="76">
        <v>6</v>
      </c>
      <c r="L17" s="77">
        <v>7</v>
      </c>
      <c r="M17" s="78">
        <v>8</v>
      </c>
      <c r="N17" s="79">
        <v>9</v>
      </c>
      <c r="O17" s="80">
        <v>10</v>
      </c>
      <c r="P17" s="32"/>
      <c r="Q17" s="139"/>
      <c r="R17" s="334"/>
      <c r="S17" s="133">
        <f>VLOOKUP($E17,R.VL_DEQResourcesInvolved,2,FALSE)</f>
        <v>0</v>
      </c>
      <c r="T17" s="121">
        <f>VLOOKUP($E17,R.VL_DEQResourcesInvolved,3,FALSE)</f>
        <v>0</v>
      </c>
      <c r="U17" s="121">
        <f>IF(S17=10,T17,VLOOKUP($E17,R.VL_DEQResourcesInvolved,4,FALSE))</f>
        <v>0</v>
      </c>
      <c r="V17" s="64"/>
      <c r="W17" s="64"/>
      <c r="X17" s="64"/>
      <c r="Y17" s="64"/>
      <c r="Z17" s="64"/>
      <c r="AA17" s="64"/>
      <c r="AB17" s="64"/>
      <c r="AC17" s="64"/>
      <c r="AD17" s="130"/>
      <c r="AE17" s="130"/>
      <c r="AF17" s="130"/>
    </row>
    <row r="18" spans="1:32" s="28" customFormat="1" ht="15.75" hidden="1" customHeight="1" outlineLevel="1">
      <c r="A18" s="117"/>
      <c r="B18" s="334"/>
      <c r="C18" s="138"/>
      <c r="D18" s="542"/>
      <c r="E18" s="30" t="s">
        <v>229</v>
      </c>
      <c r="F18" s="71">
        <v>1</v>
      </c>
      <c r="G18" s="72">
        <v>2</v>
      </c>
      <c r="H18" s="73">
        <v>3</v>
      </c>
      <c r="I18" s="74">
        <v>4</v>
      </c>
      <c r="J18" s="75">
        <v>5</v>
      </c>
      <c r="K18" s="76">
        <v>6</v>
      </c>
      <c r="L18" s="77">
        <v>7</v>
      </c>
      <c r="M18" s="78">
        <v>8</v>
      </c>
      <c r="N18" s="79">
        <v>9</v>
      </c>
      <c r="O18" s="80">
        <v>10</v>
      </c>
      <c r="P18" s="32"/>
      <c r="Q18" s="139"/>
      <c r="R18" s="334"/>
      <c r="S18" s="133">
        <f>VLOOKUP($E18,R.VL_DEQResourcesInvolved,2,FALSE)</f>
        <v>0</v>
      </c>
      <c r="T18" s="121">
        <f>VLOOKUP($E18,R.VL_DEQResourcesInvolved,3,FALSE)</f>
        <v>0</v>
      </c>
      <c r="U18" s="121">
        <f>IF(S18=10,T18,VLOOKUP($E18,R.VL_DEQResourcesInvolved,4,FALSE))</f>
        <v>0</v>
      </c>
      <c r="V18" s="64"/>
      <c r="W18" s="64"/>
      <c r="X18" s="64"/>
      <c r="Y18" s="64"/>
      <c r="Z18" s="64"/>
      <c r="AA18" s="64"/>
      <c r="AB18" s="64"/>
      <c r="AC18" s="64"/>
      <c r="AD18" s="130"/>
      <c r="AE18" s="130"/>
      <c r="AF18" s="130"/>
    </row>
    <row r="19" spans="1:32" s="28" customFormat="1" ht="15.75" hidden="1" customHeight="1" outlineLevel="1">
      <c r="A19" s="117"/>
      <c r="B19" s="334"/>
      <c r="C19" s="138"/>
      <c r="D19" s="542" t="s">
        <v>0</v>
      </c>
      <c r="E19" s="30" t="s">
        <v>229</v>
      </c>
      <c r="F19" s="71">
        <v>1</v>
      </c>
      <c r="G19" s="72">
        <v>2</v>
      </c>
      <c r="H19" s="73">
        <v>3</v>
      </c>
      <c r="I19" s="74">
        <v>4</v>
      </c>
      <c r="J19" s="75">
        <v>5</v>
      </c>
      <c r="K19" s="76">
        <v>6</v>
      </c>
      <c r="L19" s="77">
        <v>7</v>
      </c>
      <c r="M19" s="78">
        <v>8</v>
      </c>
      <c r="N19" s="79">
        <v>9</v>
      </c>
      <c r="O19" s="80">
        <v>10</v>
      </c>
      <c r="P19" s="32"/>
      <c r="Q19" s="139"/>
      <c r="R19" s="334"/>
      <c r="S19" s="133">
        <f>VLOOKUP($E19,R.VL_DEQResourcesInvolved,2,FALSE)</f>
        <v>0</v>
      </c>
      <c r="T19" s="121">
        <f>VLOOKUP($E19,R.VL_DEQResourcesInvolved,3,FALSE)</f>
        <v>0</v>
      </c>
      <c r="U19" s="121">
        <f>IF(S19=10,T19,VLOOKUP($E19,R.VL_DEQResourcesInvolved,4,FALSE))</f>
        <v>0</v>
      </c>
      <c r="V19" s="64"/>
      <c r="W19" s="64"/>
      <c r="X19" s="64"/>
      <c r="Y19" s="64"/>
      <c r="Z19" s="64"/>
      <c r="AA19" s="64"/>
      <c r="AB19" s="64"/>
      <c r="AC19" s="64"/>
      <c r="AD19" s="130"/>
      <c r="AE19" s="130"/>
      <c r="AF19" s="130"/>
    </row>
    <row r="20" spans="1:32" s="28" customFormat="1" ht="15.75" customHeight="1" collapsed="1">
      <c r="A20" s="117"/>
      <c r="B20" s="334"/>
      <c r="C20" s="245"/>
      <c r="D20" s="442" t="s">
        <v>52</v>
      </c>
      <c r="E20" s="31"/>
      <c r="F20" s="31"/>
      <c r="G20" s="31"/>
      <c r="H20" s="31"/>
      <c r="I20" s="31"/>
      <c r="J20" s="31"/>
      <c r="K20" s="31"/>
      <c r="L20" s="31"/>
      <c r="M20" s="31"/>
      <c r="N20" s="31"/>
      <c r="O20" s="31"/>
      <c r="P20" s="31"/>
      <c r="Q20" s="143"/>
      <c r="R20" s="334"/>
      <c r="S20" s="228"/>
      <c r="T20" s="229"/>
      <c r="U20" s="229"/>
      <c r="V20" s="236"/>
      <c r="W20" s="236"/>
      <c r="X20" s="236"/>
      <c r="Y20" s="236"/>
      <c r="Z20" s="236"/>
      <c r="AA20" s="236"/>
      <c r="AB20" s="236"/>
      <c r="AC20" s="236"/>
      <c r="AD20" s="130"/>
      <c r="AE20" s="130"/>
      <c r="AF20" s="130"/>
    </row>
    <row r="21" spans="1:32" s="28" customFormat="1" ht="15.75" customHeight="1">
      <c r="A21" s="117"/>
      <c r="B21" s="334"/>
      <c r="C21" s="138"/>
      <c r="D21" s="734"/>
      <c r="E21" s="735"/>
      <c r="F21" s="735"/>
      <c r="G21" s="735"/>
      <c r="H21" s="735"/>
      <c r="I21" s="735"/>
      <c r="J21" s="735"/>
      <c r="K21" s="735"/>
      <c r="L21" s="735"/>
      <c r="M21" s="735"/>
      <c r="N21" s="735"/>
      <c r="O21" s="735"/>
      <c r="P21" s="736"/>
      <c r="Q21" s="139"/>
      <c r="R21" s="334"/>
      <c r="S21" s="132" t="s">
        <v>0</v>
      </c>
      <c r="T21" s="131"/>
      <c r="U21" s="131"/>
      <c r="V21" s="64"/>
      <c r="W21" s="64"/>
      <c r="X21" s="64"/>
      <c r="Y21" s="64"/>
      <c r="Z21" s="64"/>
      <c r="AA21" s="64"/>
      <c r="AB21" s="64"/>
      <c r="AC21" s="64"/>
      <c r="AD21" s="130"/>
      <c r="AE21" s="130"/>
      <c r="AF21" s="130"/>
    </row>
    <row r="22" spans="1:32" s="33" customFormat="1" ht="15.75" customHeight="1">
      <c r="A22" s="116"/>
      <c r="B22" s="334"/>
      <c r="C22" s="232"/>
      <c r="D22" s="442" t="s">
        <v>60</v>
      </c>
      <c r="E22" s="292" t="s">
        <v>18</v>
      </c>
      <c r="F22" s="749" t="s">
        <v>19</v>
      </c>
      <c r="G22" s="749"/>
      <c r="H22" s="749"/>
      <c r="I22" s="749"/>
      <c r="J22" s="749"/>
      <c r="K22" s="749"/>
      <c r="L22" s="749"/>
      <c r="M22" s="749"/>
      <c r="N22" s="749"/>
      <c r="O22" s="749"/>
      <c r="P22" s="292" t="s">
        <v>20</v>
      </c>
      <c r="Q22" s="137"/>
      <c r="R22" s="334"/>
      <c r="S22" s="228"/>
      <c r="T22" s="229"/>
      <c r="U22" s="229"/>
      <c r="V22" s="230"/>
      <c r="W22" s="230"/>
      <c r="X22" s="230"/>
      <c r="Y22" s="230"/>
      <c r="Z22" s="230"/>
      <c r="AA22" s="230"/>
      <c r="AB22" s="230"/>
      <c r="AC22" s="230"/>
      <c r="AD22" s="127"/>
      <c r="AE22" s="127"/>
      <c r="AF22" s="127"/>
    </row>
    <row r="23" spans="1:32" s="28" customFormat="1" ht="15.75" customHeight="1">
      <c r="A23" s="117"/>
      <c r="B23" s="334"/>
      <c r="C23" s="138"/>
      <c r="D23" s="542"/>
      <c r="E23" s="30" t="s">
        <v>229</v>
      </c>
      <c r="F23" s="71">
        <v>1</v>
      </c>
      <c r="G23" s="72">
        <v>2</v>
      </c>
      <c r="H23" s="73">
        <v>3</v>
      </c>
      <c r="I23" s="74">
        <v>4</v>
      </c>
      <c r="J23" s="75">
        <v>5</v>
      </c>
      <c r="K23" s="76">
        <v>6</v>
      </c>
      <c r="L23" s="77">
        <v>7</v>
      </c>
      <c r="M23" s="78">
        <v>8</v>
      </c>
      <c r="N23" s="79">
        <v>9</v>
      </c>
      <c r="O23" s="80">
        <v>10</v>
      </c>
      <c r="P23" s="32"/>
      <c r="Q23" s="139"/>
      <c r="R23" s="334"/>
      <c r="S23" s="133">
        <f>VLOOKUP($E23,R.VL_DEQResourcesInvolved,2,FALSE)</f>
        <v>0</v>
      </c>
      <c r="T23" s="121">
        <f>VLOOKUP($E23,R.VL_DEQResourcesInvolved,3,FALSE)</f>
        <v>0</v>
      </c>
      <c r="U23" s="121">
        <f>IF(S23=10,T23,VLOOKUP($E23,R.VL_DEQResourcesInvolved,4,FALSE))</f>
        <v>0</v>
      </c>
      <c r="V23" s="575" t="s">
        <v>554</v>
      </c>
      <c r="W23" s="64"/>
      <c r="X23" s="64"/>
      <c r="Y23" s="64"/>
      <c r="Z23" s="64"/>
      <c r="AA23" s="64"/>
      <c r="AB23" s="64"/>
      <c r="AC23" s="64"/>
      <c r="AD23" s="130"/>
      <c r="AE23" s="130"/>
      <c r="AF23" s="130"/>
    </row>
    <row r="24" spans="1:32" s="28" customFormat="1" ht="15.75" hidden="1" customHeight="1" outlineLevel="1">
      <c r="A24" s="117"/>
      <c r="B24" s="334"/>
      <c r="C24" s="138"/>
      <c r="D24" s="542" t="s">
        <v>0</v>
      </c>
      <c r="E24" s="30" t="s">
        <v>229</v>
      </c>
      <c r="F24" s="71">
        <v>1</v>
      </c>
      <c r="G24" s="72">
        <v>2</v>
      </c>
      <c r="H24" s="73">
        <v>3</v>
      </c>
      <c r="I24" s="74">
        <v>4</v>
      </c>
      <c r="J24" s="75">
        <v>5</v>
      </c>
      <c r="K24" s="76">
        <v>6</v>
      </c>
      <c r="L24" s="77">
        <v>7</v>
      </c>
      <c r="M24" s="78">
        <v>8</v>
      </c>
      <c r="N24" s="79">
        <v>9</v>
      </c>
      <c r="O24" s="80">
        <v>10</v>
      </c>
      <c r="P24" s="32" t="s">
        <v>0</v>
      </c>
      <c r="Q24" s="139"/>
      <c r="R24" s="334"/>
      <c r="S24" s="133">
        <f>VLOOKUP($E24,R.VL_DEQResourcesInvolved,2,FALSE)</f>
        <v>0</v>
      </c>
      <c r="T24" s="121">
        <f>VLOOKUP($E24,R.VL_DEQResourcesInvolved,3,FALSE)</f>
        <v>0</v>
      </c>
      <c r="U24" s="121">
        <f>IF(S24=10,T24,VLOOKUP($E24,R.VL_DEQResourcesInvolved,4,FALSE))</f>
        <v>0</v>
      </c>
      <c r="V24" s="64"/>
      <c r="W24" s="64"/>
      <c r="X24" s="64"/>
      <c r="Y24" s="64"/>
      <c r="Z24" s="64"/>
      <c r="AA24" s="64"/>
      <c r="AB24" s="64"/>
      <c r="AC24" s="64"/>
      <c r="AD24" s="130"/>
      <c r="AE24" s="130"/>
      <c r="AF24" s="130"/>
    </row>
    <row r="25" spans="1:32" s="28" customFormat="1" ht="15.75" hidden="1" customHeight="1" outlineLevel="1">
      <c r="A25" s="117"/>
      <c r="B25" s="334"/>
      <c r="C25" s="138"/>
      <c r="D25" s="542" t="s">
        <v>0</v>
      </c>
      <c r="E25" s="30" t="s">
        <v>229</v>
      </c>
      <c r="F25" s="71">
        <v>1</v>
      </c>
      <c r="G25" s="72">
        <v>2</v>
      </c>
      <c r="H25" s="73">
        <v>3</v>
      </c>
      <c r="I25" s="74">
        <v>4</v>
      </c>
      <c r="J25" s="75">
        <v>5</v>
      </c>
      <c r="K25" s="76">
        <v>6</v>
      </c>
      <c r="L25" s="77">
        <v>7</v>
      </c>
      <c r="M25" s="78">
        <v>8</v>
      </c>
      <c r="N25" s="79">
        <v>9</v>
      </c>
      <c r="O25" s="80">
        <v>10</v>
      </c>
      <c r="P25" s="32" t="s">
        <v>0</v>
      </c>
      <c r="Q25" s="139"/>
      <c r="R25" s="334"/>
      <c r="S25" s="133">
        <f>VLOOKUP($E25,R.VL_DEQResourcesInvolved,2,FALSE)</f>
        <v>0</v>
      </c>
      <c r="T25" s="121">
        <f>VLOOKUP($E25,R.VL_DEQResourcesInvolved,3,FALSE)</f>
        <v>0</v>
      </c>
      <c r="U25" s="121">
        <f>IF(S25=10,T25,VLOOKUP($E25,R.VL_DEQResourcesInvolved,4,FALSE))</f>
        <v>0</v>
      </c>
      <c r="V25" s="64"/>
      <c r="W25" s="64"/>
      <c r="X25" s="64"/>
      <c r="Y25" s="64"/>
      <c r="Z25" s="64"/>
      <c r="AA25" s="64"/>
      <c r="AB25" s="64"/>
      <c r="AC25" s="64"/>
      <c r="AD25" s="130"/>
      <c r="AE25" s="130"/>
      <c r="AF25" s="130"/>
    </row>
    <row r="26" spans="1:32" s="28" customFormat="1" ht="15.75" hidden="1" customHeight="1" outlineLevel="1">
      <c r="A26" s="117"/>
      <c r="B26" s="334"/>
      <c r="C26" s="138"/>
      <c r="D26" s="542" t="s">
        <v>0</v>
      </c>
      <c r="E26" s="30" t="s">
        <v>229</v>
      </c>
      <c r="F26" s="71">
        <v>1</v>
      </c>
      <c r="G26" s="72">
        <v>2</v>
      </c>
      <c r="H26" s="73">
        <v>3</v>
      </c>
      <c r="I26" s="74">
        <v>4</v>
      </c>
      <c r="J26" s="75">
        <v>5</v>
      </c>
      <c r="K26" s="76">
        <v>6</v>
      </c>
      <c r="L26" s="77">
        <v>7</v>
      </c>
      <c r="M26" s="78">
        <v>8</v>
      </c>
      <c r="N26" s="79">
        <v>9</v>
      </c>
      <c r="O26" s="80">
        <v>10</v>
      </c>
      <c r="P26" s="32" t="s">
        <v>0</v>
      </c>
      <c r="Q26" s="139"/>
      <c r="R26" s="334"/>
      <c r="S26" s="133">
        <f>VLOOKUP($E26,R.VL_DEQResourcesInvolved,2,FALSE)</f>
        <v>0</v>
      </c>
      <c r="T26" s="121">
        <f>VLOOKUP($E26,R.VL_DEQResourcesInvolved,3,FALSE)</f>
        <v>0</v>
      </c>
      <c r="U26" s="121">
        <f>IF(S26=10,T26,VLOOKUP($E26,R.VL_DEQResourcesInvolved,4,FALSE))</f>
        <v>0</v>
      </c>
      <c r="V26" s="64"/>
      <c r="W26" s="64"/>
      <c r="X26" s="64"/>
      <c r="Y26" s="64"/>
      <c r="Z26" s="64"/>
      <c r="AA26" s="64"/>
      <c r="AB26" s="64"/>
      <c r="AC26" s="64"/>
      <c r="AD26" s="130"/>
      <c r="AE26" s="130"/>
      <c r="AF26" s="130"/>
    </row>
    <row r="27" spans="1:32" s="28" customFormat="1" ht="14.25" customHeight="1" collapsed="1">
      <c r="A27" s="117"/>
      <c r="B27" s="334"/>
      <c r="C27" s="376"/>
      <c r="D27" s="481"/>
      <c r="E27" s="739"/>
      <c r="F27" s="739"/>
      <c r="G27" s="739"/>
      <c r="H27" s="739"/>
      <c r="I27" s="739"/>
      <c r="J27" s="739"/>
      <c r="K27" s="739"/>
      <c r="L27" s="739"/>
      <c r="M27" s="739"/>
      <c r="N27" s="739"/>
      <c r="O27" s="739"/>
      <c r="P27" s="739"/>
      <c r="Q27" s="379"/>
      <c r="R27" s="334"/>
      <c r="S27" s="132"/>
      <c r="T27" s="131"/>
      <c r="U27" s="131"/>
      <c r="V27" s="64"/>
      <c r="W27" s="64"/>
      <c r="X27" s="64"/>
      <c r="Y27" s="64"/>
      <c r="Z27" s="64"/>
      <c r="AA27" s="64"/>
      <c r="AB27" s="64"/>
      <c r="AC27" s="64"/>
      <c r="AD27" s="130"/>
      <c r="AE27" s="130"/>
      <c r="AF27" s="130"/>
    </row>
    <row r="28" spans="1:32" s="33" customFormat="1" ht="30" customHeight="1">
      <c r="A28" s="301"/>
      <c r="B28" s="334"/>
      <c r="C28" s="136"/>
      <c r="D28" s="304" t="s">
        <v>129</v>
      </c>
      <c r="E28" s="302"/>
      <c r="F28" s="94"/>
      <c r="G28" s="94"/>
      <c r="H28" s="94"/>
      <c r="I28" s="94"/>
      <c r="J28" s="94"/>
      <c r="K28" s="94"/>
      <c r="L28" s="94"/>
      <c r="M28" s="94"/>
      <c r="N28" s="94"/>
      <c r="O28" s="94"/>
      <c r="P28" s="94"/>
      <c r="Q28" s="137"/>
      <c r="R28" s="334"/>
      <c r="S28" s="134"/>
      <c r="T28" s="131"/>
      <c r="U28" s="131"/>
      <c r="V28" s="129"/>
      <c r="W28" s="129"/>
      <c r="X28" s="129"/>
      <c r="Y28" s="129"/>
      <c r="Z28" s="129"/>
      <c r="AA28" s="129"/>
      <c r="AB28" s="129"/>
      <c r="AC28" s="129"/>
      <c r="AD28" s="127"/>
      <c r="AE28" s="127"/>
      <c r="AF28" s="127"/>
    </row>
    <row r="29" spans="1:32" s="33" customFormat="1" ht="14.25" customHeight="1">
      <c r="A29" s="116"/>
      <c r="B29" s="334"/>
      <c r="C29" s="232"/>
      <c r="D29" s="443" t="s">
        <v>53</v>
      </c>
      <c r="E29" s="94"/>
      <c r="F29" s="94"/>
      <c r="G29" s="94"/>
      <c r="H29" s="94"/>
      <c r="I29" s="94"/>
      <c r="J29" s="94"/>
      <c r="K29" s="94"/>
      <c r="L29" s="94"/>
      <c r="M29" s="94"/>
      <c r="N29" s="94"/>
      <c r="O29" s="94"/>
      <c r="P29" s="94"/>
      <c r="Q29" s="137"/>
      <c r="R29" s="334"/>
      <c r="S29" s="235"/>
      <c r="T29" s="229"/>
      <c r="U29" s="229"/>
      <c r="V29" s="230"/>
      <c r="W29" s="230"/>
      <c r="X29" s="230"/>
      <c r="Y29" s="230"/>
      <c r="Z29" s="230"/>
      <c r="AA29" s="230"/>
      <c r="AB29" s="230"/>
      <c r="AC29" s="230"/>
      <c r="AD29" s="127"/>
      <c r="AE29" s="127"/>
      <c r="AF29" s="127"/>
    </row>
    <row r="30" spans="1:32" s="28" customFormat="1" ht="15.75" customHeight="1">
      <c r="A30" s="117"/>
      <c r="B30" s="334"/>
      <c r="C30" s="138"/>
      <c r="D30" s="719"/>
      <c r="E30" s="720"/>
      <c r="F30" s="720"/>
      <c r="G30" s="720"/>
      <c r="H30" s="720"/>
      <c r="I30" s="720"/>
      <c r="J30" s="720"/>
      <c r="K30" s="720"/>
      <c r="L30" s="720"/>
      <c r="M30" s="720"/>
      <c r="N30" s="720"/>
      <c r="O30" s="720"/>
      <c r="P30" s="721"/>
      <c r="Q30" s="139"/>
      <c r="R30" s="334"/>
      <c r="S30" s="132" t="s">
        <v>0</v>
      </c>
      <c r="T30" s="131"/>
      <c r="U30" s="131"/>
      <c r="V30" s="64"/>
      <c r="W30" s="64"/>
      <c r="X30" s="64"/>
      <c r="Y30" s="64"/>
      <c r="Z30" s="64"/>
      <c r="AA30" s="64"/>
      <c r="AB30" s="64"/>
      <c r="AC30" s="64"/>
      <c r="AD30" s="130"/>
      <c r="AE30" s="130"/>
      <c r="AF30" s="130"/>
    </row>
    <row r="31" spans="1:32" s="33" customFormat="1" ht="15.75" customHeight="1">
      <c r="A31" s="116"/>
      <c r="B31" s="334"/>
      <c r="C31" s="136"/>
      <c r="D31" s="442" t="s">
        <v>60</v>
      </c>
      <c r="E31" s="159" t="s">
        <v>18</v>
      </c>
      <c r="F31" s="749" t="s">
        <v>19</v>
      </c>
      <c r="G31" s="749"/>
      <c r="H31" s="749"/>
      <c r="I31" s="749"/>
      <c r="J31" s="749"/>
      <c r="K31" s="749"/>
      <c r="L31" s="749"/>
      <c r="M31" s="749"/>
      <c r="N31" s="749"/>
      <c r="O31" s="749"/>
      <c r="P31" s="159" t="s">
        <v>20</v>
      </c>
      <c r="Q31" s="137"/>
      <c r="R31" s="334"/>
      <c r="S31" s="132"/>
      <c r="T31" s="131"/>
      <c r="U31" s="131"/>
      <c r="V31" s="129"/>
      <c r="W31" s="129"/>
      <c r="X31" s="129"/>
      <c r="Y31" s="129"/>
      <c r="Z31" s="129"/>
      <c r="AA31" s="129"/>
      <c r="AB31" s="129"/>
      <c r="AC31" s="129"/>
      <c r="AD31" s="127"/>
      <c r="AE31" s="127"/>
      <c r="AF31" s="127"/>
    </row>
    <row r="32" spans="1:32" s="28" customFormat="1" ht="15.75" customHeight="1">
      <c r="A32" s="117"/>
      <c r="B32" s="334"/>
      <c r="C32" s="138"/>
      <c r="D32" s="542"/>
      <c r="E32" s="30" t="s">
        <v>229</v>
      </c>
      <c r="F32" s="71">
        <v>1</v>
      </c>
      <c r="G32" s="72">
        <v>2</v>
      </c>
      <c r="H32" s="73">
        <v>3</v>
      </c>
      <c r="I32" s="74">
        <v>4</v>
      </c>
      <c r="J32" s="75">
        <v>5</v>
      </c>
      <c r="K32" s="76">
        <v>6</v>
      </c>
      <c r="L32" s="77">
        <v>7</v>
      </c>
      <c r="M32" s="78">
        <v>8</v>
      </c>
      <c r="N32" s="79">
        <v>9</v>
      </c>
      <c r="O32" s="80">
        <v>10</v>
      </c>
      <c r="P32" s="32"/>
      <c r="Q32" s="139"/>
      <c r="R32" s="334"/>
      <c r="S32" s="133">
        <f>VLOOKUP($E32,R.VL_DEQResourcesInvolved,2,FALSE)</f>
        <v>0</v>
      </c>
      <c r="T32" s="121">
        <f>VLOOKUP($E32,R.VL_DEQResourcesInvolved,3,FALSE)</f>
        <v>0</v>
      </c>
      <c r="U32" s="121">
        <f>IF(S32=10,T32,VLOOKUP($E32,R.VL_DEQResourcesInvolved,4,FALSE))</f>
        <v>0</v>
      </c>
      <c r="V32" s="575" t="s">
        <v>554</v>
      </c>
      <c r="W32" s="64"/>
      <c r="X32" s="64"/>
      <c r="Y32" s="64"/>
      <c r="Z32" s="64"/>
      <c r="AA32" s="64"/>
      <c r="AB32" s="64"/>
      <c r="AC32" s="64"/>
      <c r="AD32" s="130"/>
      <c r="AE32" s="130"/>
      <c r="AF32" s="130"/>
    </row>
    <row r="33" spans="1:32" s="28" customFormat="1" ht="15.75" hidden="1" customHeight="1" outlineLevel="1">
      <c r="A33" s="117"/>
      <c r="B33" s="334"/>
      <c r="C33" s="138"/>
      <c r="D33" s="542" t="s">
        <v>0</v>
      </c>
      <c r="E33" s="30" t="s">
        <v>229</v>
      </c>
      <c r="F33" s="71">
        <v>1</v>
      </c>
      <c r="G33" s="72">
        <v>2</v>
      </c>
      <c r="H33" s="73">
        <v>3</v>
      </c>
      <c r="I33" s="74">
        <v>4</v>
      </c>
      <c r="J33" s="75">
        <v>5</v>
      </c>
      <c r="K33" s="76">
        <v>6</v>
      </c>
      <c r="L33" s="77">
        <v>7</v>
      </c>
      <c r="M33" s="78">
        <v>8</v>
      </c>
      <c r="N33" s="79">
        <v>9</v>
      </c>
      <c r="O33" s="80">
        <v>10</v>
      </c>
      <c r="P33" s="32" t="s">
        <v>0</v>
      </c>
      <c r="Q33" s="139"/>
      <c r="R33" s="334"/>
      <c r="S33" s="133">
        <f>VLOOKUP($E33,R.VL_DEQResourcesInvolved,2,FALSE)</f>
        <v>0</v>
      </c>
      <c r="T33" s="121">
        <f>VLOOKUP($E33,R.VL_DEQResourcesInvolved,3,FALSE)</f>
        <v>0</v>
      </c>
      <c r="U33" s="121">
        <f>IF(S33=10,T33,VLOOKUP($E33,R.VL_DEQResourcesInvolved,4,FALSE))</f>
        <v>0</v>
      </c>
      <c r="V33" s="64"/>
      <c r="W33" s="64"/>
      <c r="X33" s="64"/>
      <c r="Y33" s="64"/>
      <c r="Z33" s="64"/>
      <c r="AA33" s="64"/>
      <c r="AB33" s="64"/>
      <c r="AC33" s="64"/>
      <c r="AD33" s="130"/>
      <c r="AE33" s="130"/>
      <c r="AF33" s="130"/>
    </row>
    <row r="34" spans="1:32" s="28" customFormat="1" ht="15.75" hidden="1" customHeight="1" outlineLevel="1">
      <c r="A34" s="117"/>
      <c r="B34" s="334"/>
      <c r="C34" s="138"/>
      <c r="D34" s="542" t="s">
        <v>0</v>
      </c>
      <c r="E34" s="30" t="s">
        <v>229</v>
      </c>
      <c r="F34" s="71">
        <v>1</v>
      </c>
      <c r="G34" s="72">
        <v>2</v>
      </c>
      <c r="H34" s="73">
        <v>3</v>
      </c>
      <c r="I34" s="74">
        <v>4</v>
      </c>
      <c r="J34" s="75">
        <v>5</v>
      </c>
      <c r="K34" s="76">
        <v>6</v>
      </c>
      <c r="L34" s="77">
        <v>7</v>
      </c>
      <c r="M34" s="78">
        <v>8</v>
      </c>
      <c r="N34" s="79">
        <v>9</v>
      </c>
      <c r="O34" s="80">
        <v>10</v>
      </c>
      <c r="P34" s="32" t="s">
        <v>0</v>
      </c>
      <c r="Q34" s="139"/>
      <c r="R34" s="334"/>
      <c r="S34" s="133">
        <f>VLOOKUP($E34,R.VL_DEQResourcesInvolved,2,FALSE)</f>
        <v>0</v>
      </c>
      <c r="T34" s="121">
        <f>VLOOKUP($E34,R.VL_DEQResourcesInvolved,3,FALSE)</f>
        <v>0</v>
      </c>
      <c r="U34" s="121">
        <f>IF(S34=10,T34,VLOOKUP($E34,R.VL_DEQResourcesInvolved,4,FALSE))</f>
        <v>0</v>
      </c>
      <c r="V34" s="64"/>
      <c r="W34" s="64"/>
      <c r="X34" s="64"/>
      <c r="Y34" s="64"/>
      <c r="Z34" s="64"/>
      <c r="AA34" s="64"/>
      <c r="AB34" s="64"/>
      <c r="AC34" s="64"/>
      <c r="AD34" s="130"/>
      <c r="AE34" s="130"/>
      <c r="AF34" s="130"/>
    </row>
    <row r="35" spans="1:32" s="28" customFormat="1" ht="15.75" hidden="1" customHeight="1" outlineLevel="1">
      <c r="A35" s="117"/>
      <c r="B35" s="334"/>
      <c r="C35" s="138"/>
      <c r="D35" s="542" t="s">
        <v>0</v>
      </c>
      <c r="E35" s="30" t="s">
        <v>229</v>
      </c>
      <c r="F35" s="71">
        <v>1</v>
      </c>
      <c r="G35" s="72">
        <v>2</v>
      </c>
      <c r="H35" s="73">
        <v>3</v>
      </c>
      <c r="I35" s="74">
        <v>4</v>
      </c>
      <c r="J35" s="75">
        <v>5</v>
      </c>
      <c r="K35" s="76">
        <v>6</v>
      </c>
      <c r="L35" s="77">
        <v>7</v>
      </c>
      <c r="M35" s="78">
        <v>8</v>
      </c>
      <c r="N35" s="79">
        <v>9</v>
      </c>
      <c r="O35" s="80">
        <v>10</v>
      </c>
      <c r="P35" s="32" t="s">
        <v>0</v>
      </c>
      <c r="Q35" s="139"/>
      <c r="R35" s="334"/>
      <c r="S35" s="133">
        <f>VLOOKUP($E35,R.VL_DEQResourcesInvolved,2,FALSE)</f>
        <v>0</v>
      </c>
      <c r="T35" s="121">
        <f>VLOOKUP($E35,R.VL_DEQResourcesInvolved,3,FALSE)</f>
        <v>0</v>
      </c>
      <c r="U35" s="121">
        <f>IF(S35=10,T35,VLOOKUP($E35,R.VL_DEQResourcesInvolved,4,FALSE))</f>
        <v>0</v>
      </c>
      <c r="V35" s="64"/>
      <c r="W35" s="64"/>
      <c r="X35" s="64"/>
      <c r="Y35" s="64"/>
      <c r="Z35" s="64"/>
      <c r="AA35" s="64"/>
      <c r="AB35" s="64"/>
      <c r="AC35" s="64"/>
      <c r="AD35" s="130"/>
      <c r="AE35" s="130"/>
      <c r="AF35" s="130"/>
    </row>
    <row r="36" spans="1:32" s="28" customFormat="1" ht="15.75" customHeight="1" collapsed="1">
      <c r="A36" s="117"/>
      <c r="B36" s="334"/>
      <c r="C36" s="142"/>
      <c r="D36" s="443" t="s">
        <v>52</v>
      </c>
      <c r="E36" s="31"/>
      <c r="F36" s="31"/>
      <c r="G36" s="31"/>
      <c r="H36" s="31"/>
      <c r="I36" s="31"/>
      <c r="J36" s="31"/>
      <c r="K36" s="31"/>
      <c r="L36" s="31"/>
      <c r="M36" s="31"/>
      <c r="N36" s="31"/>
      <c r="O36" s="31"/>
      <c r="P36" s="31"/>
      <c r="Q36" s="143"/>
      <c r="R36" s="334"/>
      <c r="S36" s="132"/>
      <c r="T36" s="131"/>
      <c r="U36" s="131"/>
      <c r="V36" s="64"/>
      <c r="W36" s="64"/>
      <c r="X36" s="64"/>
      <c r="Y36" s="64"/>
      <c r="Z36" s="64"/>
      <c r="AA36" s="64"/>
      <c r="AB36" s="64"/>
      <c r="AC36" s="64"/>
      <c r="AD36" s="130"/>
      <c r="AE36" s="130"/>
      <c r="AF36" s="130"/>
    </row>
    <row r="37" spans="1:32" s="28" customFormat="1" ht="15.75" customHeight="1">
      <c r="A37" s="117"/>
      <c r="B37" s="334"/>
      <c r="C37" s="138"/>
      <c r="D37" s="724"/>
      <c r="E37" s="725"/>
      <c r="F37" s="725"/>
      <c r="G37" s="725"/>
      <c r="H37" s="725"/>
      <c r="I37" s="725"/>
      <c r="J37" s="725"/>
      <c r="K37" s="725"/>
      <c r="L37" s="725"/>
      <c r="M37" s="725"/>
      <c r="N37" s="725"/>
      <c r="O37" s="725"/>
      <c r="P37" s="726"/>
      <c r="Q37" s="139"/>
      <c r="R37" s="334"/>
      <c r="S37" s="132" t="s">
        <v>0</v>
      </c>
      <c r="T37" s="131"/>
      <c r="U37" s="131"/>
      <c r="V37" s="64"/>
      <c r="W37" s="64"/>
      <c r="X37" s="64"/>
      <c r="Y37" s="64"/>
      <c r="Z37" s="64"/>
      <c r="AA37" s="64"/>
      <c r="AB37" s="64"/>
      <c r="AC37" s="64"/>
      <c r="AD37" s="130"/>
      <c r="AE37" s="130"/>
      <c r="AF37" s="130"/>
    </row>
    <row r="38" spans="1:32" s="33" customFormat="1" ht="15.75" customHeight="1">
      <c r="A38" s="116"/>
      <c r="B38" s="334"/>
      <c r="C38" s="136"/>
      <c r="D38" s="442" t="s">
        <v>60</v>
      </c>
      <c r="E38" s="159" t="s">
        <v>18</v>
      </c>
      <c r="F38" s="749" t="s">
        <v>19</v>
      </c>
      <c r="G38" s="749"/>
      <c r="H38" s="749"/>
      <c r="I38" s="749"/>
      <c r="J38" s="749"/>
      <c r="K38" s="749"/>
      <c r="L38" s="749"/>
      <c r="M38" s="749"/>
      <c r="N38" s="749"/>
      <c r="O38" s="749"/>
      <c r="P38" s="159" t="s">
        <v>20</v>
      </c>
      <c r="Q38" s="137"/>
      <c r="R38" s="334"/>
      <c r="S38" s="132"/>
      <c r="T38" s="131"/>
      <c r="U38" s="131"/>
      <c r="V38" s="129"/>
      <c r="W38" s="129"/>
      <c r="X38" s="129"/>
      <c r="Y38" s="129"/>
      <c r="Z38" s="129"/>
      <c r="AA38" s="129"/>
      <c r="AB38" s="129"/>
      <c r="AC38" s="129"/>
      <c r="AD38" s="127"/>
      <c r="AE38" s="127"/>
      <c r="AF38" s="127"/>
    </row>
    <row r="39" spans="1:32" s="28" customFormat="1" ht="15.75" customHeight="1">
      <c r="A39" s="117"/>
      <c r="B39" s="334"/>
      <c r="C39" s="138"/>
      <c r="D39" s="542"/>
      <c r="E39" s="30" t="s">
        <v>229</v>
      </c>
      <c r="F39" s="71">
        <v>1</v>
      </c>
      <c r="G39" s="72">
        <v>2</v>
      </c>
      <c r="H39" s="73">
        <v>3</v>
      </c>
      <c r="I39" s="74">
        <v>4</v>
      </c>
      <c r="J39" s="75">
        <v>5</v>
      </c>
      <c r="K39" s="76">
        <v>6</v>
      </c>
      <c r="L39" s="77">
        <v>7</v>
      </c>
      <c r="M39" s="78">
        <v>8</v>
      </c>
      <c r="N39" s="79">
        <v>9</v>
      </c>
      <c r="O39" s="80">
        <v>10</v>
      </c>
      <c r="P39" s="32"/>
      <c r="Q39" s="139"/>
      <c r="R39" s="334"/>
      <c r="S39" s="133">
        <f>VLOOKUP($E39,R.VL_DEQResourcesInvolved,2,FALSE)</f>
        <v>0</v>
      </c>
      <c r="T39" s="121">
        <f>VLOOKUP($E39,R.VL_DEQResourcesInvolved,3,FALSE)</f>
        <v>0</v>
      </c>
      <c r="U39" s="121">
        <f>IF(S39=10,T39,VLOOKUP($E39,R.VL_DEQResourcesInvolved,4,FALSE))</f>
        <v>0</v>
      </c>
      <c r="V39" s="575" t="s">
        <v>554</v>
      </c>
      <c r="W39" s="64"/>
      <c r="X39" s="64"/>
      <c r="Y39" s="64"/>
      <c r="Z39" s="64"/>
      <c r="AA39" s="64"/>
      <c r="AB39" s="64"/>
      <c r="AC39" s="64"/>
      <c r="AD39" s="130"/>
      <c r="AE39" s="130"/>
      <c r="AF39" s="130"/>
    </row>
    <row r="40" spans="1:32" s="28" customFormat="1" ht="15.75" hidden="1" customHeight="1" outlineLevel="1">
      <c r="A40" s="117"/>
      <c r="B40" s="334"/>
      <c r="C40" s="138"/>
      <c r="D40" s="542" t="s">
        <v>0</v>
      </c>
      <c r="E40" s="30" t="s">
        <v>229</v>
      </c>
      <c r="F40" s="71">
        <v>1</v>
      </c>
      <c r="G40" s="72">
        <v>2</v>
      </c>
      <c r="H40" s="73">
        <v>3</v>
      </c>
      <c r="I40" s="74">
        <v>4</v>
      </c>
      <c r="J40" s="75">
        <v>5</v>
      </c>
      <c r="K40" s="76">
        <v>6</v>
      </c>
      <c r="L40" s="77">
        <v>7</v>
      </c>
      <c r="M40" s="78">
        <v>8</v>
      </c>
      <c r="N40" s="79">
        <v>9</v>
      </c>
      <c r="O40" s="80">
        <v>10</v>
      </c>
      <c r="P40" s="32" t="s">
        <v>0</v>
      </c>
      <c r="Q40" s="139"/>
      <c r="R40" s="334"/>
      <c r="S40" s="133">
        <f>VLOOKUP($E40,R.VL_DEQResourcesInvolved,2,FALSE)</f>
        <v>0</v>
      </c>
      <c r="T40" s="121">
        <f>VLOOKUP($E40,R.VL_DEQResourcesInvolved,3,FALSE)</f>
        <v>0</v>
      </c>
      <c r="U40" s="121">
        <f>IF(S40=10,T40,VLOOKUP($E40,R.VL_DEQResourcesInvolved,4,FALSE))</f>
        <v>0</v>
      </c>
      <c r="V40" s="64"/>
      <c r="W40" s="64"/>
      <c r="X40" s="64"/>
      <c r="Y40" s="64"/>
      <c r="Z40" s="64"/>
      <c r="AA40" s="64"/>
      <c r="AB40" s="64"/>
      <c r="AC40" s="64"/>
      <c r="AD40" s="130"/>
      <c r="AE40" s="130"/>
      <c r="AF40" s="130"/>
    </row>
    <row r="41" spans="1:32" s="28" customFormat="1" ht="15.75" hidden="1" customHeight="1" outlineLevel="1">
      <c r="A41" s="117"/>
      <c r="B41" s="334"/>
      <c r="C41" s="138"/>
      <c r="D41" s="542" t="s">
        <v>0</v>
      </c>
      <c r="E41" s="30" t="s">
        <v>229</v>
      </c>
      <c r="F41" s="71">
        <v>1</v>
      </c>
      <c r="G41" s="72">
        <v>2</v>
      </c>
      <c r="H41" s="73">
        <v>3</v>
      </c>
      <c r="I41" s="74">
        <v>4</v>
      </c>
      <c r="J41" s="75">
        <v>5</v>
      </c>
      <c r="K41" s="76">
        <v>6</v>
      </c>
      <c r="L41" s="77">
        <v>7</v>
      </c>
      <c r="M41" s="78">
        <v>8</v>
      </c>
      <c r="N41" s="79">
        <v>9</v>
      </c>
      <c r="O41" s="80">
        <v>10</v>
      </c>
      <c r="P41" s="32" t="s">
        <v>0</v>
      </c>
      <c r="Q41" s="139"/>
      <c r="R41" s="334"/>
      <c r="S41" s="133">
        <f>VLOOKUP($E41,R.VL_DEQResourcesInvolved,2,FALSE)</f>
        <v>0</v>
      </c>
      <c r="T41" s="121">
        <f>VLOOKUP($E41,R.VL_DEQResourcesInvolved,3,FALSE)</f>
        <v>0</v>
      </c>
      <c r="U41" s="121">
        <f>IF(S41=10,T41,VLOOKUP($E41,R.VL_DEQResourcesInvolved,4,FALSE))</f>
        <v>0</v>
      </c>
      <c r="V41" s="64"/>
      <c r="W41" s="64"/>
      <c r="X41" s="64"/>
      <c r="Y41" s="64"/>
      <c r="Z41" s="64"/>
      <c r="AA41" s="64"/>
      <c r="AB41" s="64"/>
      <c r="AC41" s="64"/>
      <c r="AD41" s="130"/>
      <c r="AE41" s="130"/>
      <c r="AF41" s="130"/>
    </row>
    <row r="42" spans="1:32" s="28" customFormat="1" ht="15.75" hidden="1" customHeight="1" outlineLevel="1">
      <c r="A42" s="117"/>
      <c r="B42" s="334"/>
      <c r="C42" s="138"/>
      <c r="D42" s="542" t="s">
        <v>0</v>
      </c>
      <c r="E42" s="30" t="s">
        <v>229</v>
      </c>
      <c r="F42" s="71">
        <v>1</v>
      </c>
      <c r="G42" s="72">
        <v>2</v>
      </c>
      <c r="H42" s="73">
        <v>3</v>
      </c>
      <c r="I42" s="74">
        <v>4</v>
      </c>
      <c r="J42" s="75">
        <v>5</v>
      </c>
      <c r="K42" s="76">
        <v>6</v>
      </c>
      <c r="L42" s="77">
        <v>7</v>
      </c>
      <c r="M42" s="78">
        <v>8</v>
      </c>
      <c r="N42" s="79">
        <v>9</v>
      </c>
      <c r="O42" s="80">
        <v>10</v>
      </c>
      <c r="P42" s="32" t="s">
        <v>0</v>
      </c>
      <c r="Q42" s="139"/>
      <c r="R42" s="334"/>
      <c r="S42" s="133">
        <f>VLOOKUP($E42,R.VL_DEQResourcesInvolved,2,FALSE)</f>
        <v>0</v>
      </c>
      <c r="T42" s="121">
        <f>VLOOKUP($E42,R.VL_DEQResourcesInvolved,3,FALSE)</f>
        <v>0</v>
      </c>
      <c r="U42" s="121">
        <f>IF(S42=10,T42,VLOOKUP($E42,R.VL_DEQResourcesInvolved,4,FALSE))</f>
        <v>0</v>
      </c>
      <c r="V42" s="64"/>
      <c r="W42" s="64"/>
      <c r="X42" s="64"/>
      <c r="Y42" s="64"/>
      <c r="Z42" s="64"/>
      <c r="AA42" s="64"/>
      <c r="AB42" s="64"/>
      <c r="AC42" s="64"/>
      <c r="AD42" s="130"/>
      <c r="AE42" s="130"/>
      <c r="AF42" s="130"/>
    </row>
    <row r="43" spans="1:32" s="28" customFormat="1" ht="15.75" customHeight="1" collapsed="1">
      <c r="A43" s="117"/>
      <c r="B43" s="334"/>
      <c r="C43" s="376"/>
      <c r="D43" s="481"/>
      <c r="E43" s="739"/>
      <c r="F43" s="739"/>
      <c r="G43" s="739"/>
      <c r="H43" s="739"/>
      <c r="I43" s="739"/>
      <c r="J43" s="739"/>
      <c r="K43" s="739"/>
      <c r="L43" s="739"/>
      <c r="M43" s="739"/>
      <c r="N43" s="739"/>
      <c r="O43" s="739"/>
      <c r="P43" s="739"/>
      <c r="Q43" s="379"/>
      <c r="R43" s="334"/>
      <c r="S43" s="132"/>
      <c r="T43" s="131"/>
      <c r="U43" s="131"/>
      <c r="V43" s="64"/>
      <c r="W43" s="64"/>
      <c r="X43" s="64"/>
      <c r="Y43" s="64"/>
      <c r="Z43" s="64"/>
      <c r="AA43" s="64"/>
      <c r="AB43" s="64"/>
      <c r="AC43" s="64"/>
      <c r="AD43" s="130"/>
      <c r="AE43" s="130"/>
      <c r="AF43" s="130"/>
    </row>
    <row r="44" spans="1:32" s="33" customFormat="1" ht="30" customHeight="1">
      <c r="A44" s="350" t="s">
        <v>107</v>
      </c>
      <c r="B44" s="334"/>
      <c r="C44" s="483" t="s">
        <v>0</v>
      </c>
      <c r="D44" s="381" t="s">
        <v>135</v>
      </c>
      <c r="E44" s="382"/>
      <c r="F44" s="382"/>
      <c r="G44" s="382"/>
      <c r="H44" s="382"/>
      <c r="I44" s="382"/>
      <c r="J44" s="382"/>
      <c r="K44" s="382"/>
      <c r="L44" s="382"/>
      <c r="M44" s="382"/>
      <c r="N44" s="382"/>
      <c r="O44" s="382"/>
      <c r="P44" s="382"/>
      <c r="Q44" s="384"/>
      <c r="R44" s="334"/>
      <c r="S44" s="134"/>
      <c r="T44" s="131" t="s">
        <v>0</v>
      </c>
      <c r="U44" s="131"/>
      <c r="V44" s="129"/>
      <c r="W44" s="129"/>
      <c r="X44" s="129"/>
      <c r="Y44" s="129"/>
      <c r="Z44" s="129"/>
      <c r="AA44" s="129"/>
      <c r="AB44" s="129"/>
      <c r="AC44" s="129"/>
      <c r="AD44" s="127"/>
      <c r="AE44" s="127"/>
      <c r="AF44" s="127"/>
    </row>
    <row r="45" spans="1:32" s="33" customFormat="1" ht="14.25" customHeight="1">
      <c r="A45" s="116"/>
      <c r="B45" s="334"/>
      <c r="C45" s="232"/>
      <c r="D45" s="443" t="s">
        <v>53</v>
      </c>
      <c r="E45" s="94"/>
      <c r="F45" s="94"/>
      <c r="G45" s="94"/>
      <c r="H45" s="94"/>
      <c r="I45" s="94"/>
      <c r="J45" s="94"/>
      <c r="K45" s="94"/>
      <c r="L45" s="94"/>
      <c r="M45" s="94"/>
      <c r="N45" s="94"/>
      <c r="O45" s="94"/>
      <c r="P45" s="94"/>
      <c r="Q45" s="137"/>
      <c r="R45" s="334"/>
      <c r="S45" s="235"/>
      <c r="T45" s="229"/>
      <c r="U45" s="229"/>
      <c r="V45" s="230"/>
      <c r="W45" s="230"/>
      <c r="X45" s="230"/>
      <c r="Y45" s="230"/>
      <c r="Z45" s="230"/>
      <c r="AA45" s="230"/>
      <c r="AB45" s="230"/>
      <c r="AC45" s="230"/>
      <c r="AD45" s="127"/>
      <c r="AE45" s="127"/>
      <c r="AF45" s="127"/>
    </row>
    <row r="46" spans="1:32" s="28" customFormat="1" ht="15.75" customHeight="1">
      <c r="A46" s="117"/>
      <c r="B46" s="334"/>
      <c r="C46" s="138"/>
      <c r="D46" s="719"/>
      <c r="E46" s="720"/>
      <c r="F46" s="720"/>
      <c r="G46" s="720"/>
      <c r="H46" s="720"/>
      <c r="I46" s="720"/>
      <c r="J46" s="720"/>
      <c r="K46" s="720"/>
      <c r="L46" s="720"/>
      <c r="M46" s="720"/>
      <c r="N46" s="720"/>
      <c r="O46" s="720"/>
      <c r="P46" s="721"/>
      <c r="Q46" s="139"/>
      <c r="R46" s="334"/>
      <c r="S46" s="132" t="s">
        <v>0</v>
      </c>
      <c r="T46" s="131"/>
      <c r="U46" s="131"/>
      <c r="V46" s="64"/>
      <c r="W46" s="64"/>
      <c r="X46" s="64"/>
      <c r="Y46" s="64"/>
      <c r="Z46" s="64"/>
      <c r="AA46" s="64"/>
      <c r="AB46" s="64"/>
      <c r="AC46" s="64"/>
      <c r="AD46" s="130"/>
      <c r="AE46" s="130"/>
      <c r="AF46" s="130"/>
    </row>
    <row r="47" spans="1:32" s="33" customFormat="1" ht="15.75" customHeight="1">
      <c r="A47" s="116"/>
      <c r="B47" s="334"/>
      <c r="C47" s="233"/>
      <c r="D47" s="497" t="s">
        <v>60</v>
      </c>
      <c r="E47" s="393" t="s">
        <v>18</v>
      </c>
      <c r="F47" s="733" t="s">
        <v>19</v>
      </c>
      <c r="G47" s="733"/>
      <c r="H47" s="733"/>
      <c r="I47" s="733"/>
      <c r="J47" s="733"/>
      <c r="K47" s="733"/>
      <c r="L47" s="733"/>
      <c r="M47" s="733"/>
      <c r="N47" s="733"/>
      <c r="O47" s="733"/>
      <c r="P47" s="393" t="s">
        <v>20</v>
      </c>
      <c r="Q47" s="137"/>
      <c r="R47" s="334"/>
      <c r="S47" s="132"/>
      <c r="T47" s="131"/>
      <c r="U47" s="131"/>
      <c r="V47" s="129"/>
      <c r="W47" s="129"/>
      <c r="X47" s="129"/>
      <c r="Y47" s="129"/>
      <c r="Z47" s="129"/>
      <c r="AA47" s="129"/>
      <c r="AB47" s="129"/>
      <c r="AC47" s="129"/>
      <c r="AD47" s="127"/>
      <c r="AE47" s="127"/>
      <c r="AF47" s="127"/>
    </row>
    <row r="48" spans="1:32" s="28" customFormat="1" ht="15.75" customHeight="1">
      <c r="A48" s="117"/>
      <c r="B48" s="334"/>
      <c r="C48" s="138"/>
      <c r="D48" s="541"/>
      <c r="E48" s="30" t="s">
        <v>229</v>
      </c>
      <c r="F48" s="71">
        <v>1</v>
      </c>
      <c r="G48" s="72">
        <v>2</v>
      </c>
      <c r="H48" s="73">
        <v>3</v>
      </c>
      <c r="I48" s="74">
        <v>4</v>
      </c>
      <c r="J48" s="75">
        <v>5</v>
      </c>
      <c r="K48" s="76">
        <v>6</v>
      </c>
      <c r="L48" s="77">
        <v>7</v>
      </c>
      <c r="M48" s="78">
        <v>8</v>
      </c>
      <c r="N48" s="79">
        <v>9</v>
      </c>
      <c r="O48" s="80">
        <v>10</v>
      </c>
      <c r="P48" s="32"/>
      <c r="Q48" s="139"/>
      <c r="R48" s="334"/>
      <c r="S48" s="133">
        <f>VLOOKUP($E48,R.VL_DEQResourcesInvolved,2,FALSE)</f>
        <v>0</v>
      </c>
      <c r="T48" s="121">
        <f>VLOOKUP($E48,R.VL_DEQResourcesInvolved,3,FALSE)</f>
        <v>0</v>
      </c>
      <c r="U48" s="121">
        <f>IF(S48=10,T48,VLOOKUP($E48,R.VL_DEQResourcesInvolved,4,FALSE))</f>
        <v>0</v>
      </c>
      <c r="V48" s="575" t="s">
        <v>554</v>
      </c>
      <c r="W48" s="64"/>
      <c r="X48" s="64"/>
      <c r="Y48" s="64"/>
      <c r="Z48" s="64"/>
      <c r="AA48" s="64"/>
      <c r="AB48" s="64"/>
      <c r="AC48" s="64"/>
      <c r="AD48" s="130"/>
      <c r="AE48" s="130"/>
      <c r="AF48" s="130"/>
    </row>
    <row r="49" spans="1:32" s="28" customFormat="1" ht="15.75" hidden="1" customHeight="1" outlineLevel="1">
      <c r="A49" s="117"/>
      <c r="B49" s="334"/>
      <c r="C49" s="138"/>
      <c r="D49" s="541"/>
      <c r="E49" s="30" t="s">
        <v>229</v>
      </c>
      <c r="F49" s="71">
        <v>1</v>
      </c>
      <c r="G49" s="72">
        <v>2</v>
      </c>
      <c r="H49" s="73">
        <v>3</v>
      </c>
      <c r="I49" s="74">
        <v>4</v>
      </c>
      <c r="J49" s="75">
        <v>5</v>
      </c>
      <c r="K49" s="76">
        <v>6</v>
      </c>
      <c r="L49" s="77">
        <v>7</v>
      </c>
      <c r="M49" s="78">
        <v>8</v>
      </c>
      <c r="N49" s="79">
        <v>9</v>
      </c>
      <c r="O49" s="80">
        <v>10</v>
      </c>
      <c r="P49" s="32" t="s">
        <v>0</v>
      </c>
      <c r="Q49" s="139"/>
      <c r="R49" s="334"/>
      <c r="S49" s="133">
        <f>VLOOKUP($E49,R.VL_DEQResourcesInvolved,2,FALSE)</f>
        <v>0</v>
      </c>
      <c r="T49" s="121">
        <f>VLOOKUP($E49,R.VL_DEQResourcesInvolved,3,FALSE)</f>
        <v>0</v>
      </c>
      <c r="U49" s="121">
        <f>IF(S49=10,T49,VLOOKUP($E49,R.VL_DEQResourcesInvolved,4,FALSE))</f>
        <v>0</v>
      </c>
      <c r="V49" s="64"/>
      <c r="W49" s="64"/>
      <c r="X49" s="64"/>
      <c r="Y49" s="64"/>
      <c r="Z49" s="64"/>
      <c r="AA49" s="64"/>
      <c r="AB49" s="64"/>
      <c r="AC49" s="64"/>
      <c r="AD49" s="130"/>
      <c r="AE49" s="130"/>
      <c r="AF49" s="130"/>
    </row>
    <row r="50" spans="1:32" s="28" customFormat="1" ht="15.75" hidden="1" customHeight="1" outlineLevel="1">
      <c r="A50" s="117"/>
      <c r="B50" s="334"/>
      <c r="C50" s="138"/>
      <c r="D50" s="541"/>
      <c r="E50" s="30" t="s">
        <v>229</v>
      </c>
      <c r="F50" s="71">
        <v>1</v>
      </c>
      <c r="G50" s="72">
        <v>2</v>
      </c>
      <c r="H50" s="73">
        <v>3</v>
      </c>
      <c r="I50" s="74">
        <v>4</v>
      </c>
      <c r="J50" s="75">
        <v>5</v>
      </c>
      <c r="K50" s="76">
        <v>6</v>
      </c>
      <c r="L50" s="77">
        <v>7</v>
      </c>
      <c r="M50" s="78">
        <v>8</v>
      </c>
      <c r="N50" s="79">
        <v>9</v>
      </c>
      <c r="O50" s="80">
        <v>10</v>
      </c>
      <c r="P50" s="32" t="s">
        <v>0</v>
      </c>
      <c r="Q50" s="139"/>
      <c r="R50" s="334"/>
      <c r="S50" s="133">
        <f>VLOOKUP($E50,R.VL_DEQResourcesInvolved,2,FALSE)</f>
        <v>0</v>
      </c>
      <c r="T50" s="121">
        <f>VLOOKUP($E50,R.VL_DEQResourcesInvolved,3,FALSE)</f>
        <v>0</v>
      </c>
      <c r="U50" s="121">
        <f>IF(S50=10,T50,VLOOKUP($E50,R.VL_DEQResourcesInvolved,4,FALSE))</f>
        <v>0</v>
      </c>
      <c r="V50" s="64"/>
      <c r="W50" s="64"/>
      <c r="X50" s="64"/>
      <c r="Y50" s="64"/>
      <c r="Z50" s="64"/>
      <c r="AA50" s="64"/>
      <c r="AB50" s="64"/>
      <c r="AC50" s="64"/>
      <c r="AD50" s="130"/>
      <c r="AE50" s="130"/>
      <c r="AF50" s="130"/>
    </row>
    <row r="51" spans="1:32" s="28" customFormat="1" ht="15.75" hidden="1" customHeight="1" outlineLevel="1">
      <c r="A51" s="117"/>
      <c r="B51" s="334"/>
      <c r="C51" s="138"/>
      <c r="D51" s="541"/>
      <c r="E51" s="30" t="s">
        <v>229</v>
      </c>
      <c r="F51" s="71">
        <v>1</v>
      </c>
      <c r="G51" s="72">
        <v>2</v>
      </c>
      <c r="H51" s="73">
        <v>3</v>
      </c>
      <c r="I51" s="74">
        <v>4</v>
      </c>
      <c r="J51" s="75">
        <v>5</v>
      </c>
      <c r="K51" s="76">
        <v>6</v>
      </c>
      <c r="L51" s="77">
        <v>7</v>
      </c>
      <c r="M51" s="78">
        <v>8</v>
      </c>
      <c r="N51" s="79">
        <v>9</v>
      </c>
      <c r="O51" s="80">
        <v>10</v>
      </c>
      <c r="P51" s="32" t="s">
        <v>0</v>
      </c>
      <c r="Q51" s="139"/>
      <c r="R51" s="334"/>
      <c r="S51" s="133">
        <f>VLOOKUP($E51,R.VL_DEQResourcesInvolved,2,FALSE)</f>
        <v>0</v>
      </c>
      <c r="T51" s="121">
        <f>VLOOKUP($E51,R.VL_DEQResourcesInvolved,3,FALSE)</f>
        <v>0</v>
      </c>
      <c r="U51" s="121">
        <f>IF(S51=10,T51,VLOOKUP($E51,R.VL_DEQResourcesInvolved,4,FALSE))</f>
        <v>0</v>
      </c>
      <c r="V51" s="64"/>
      <c r="W51" s="64"/>
      <c r="X51" s="64"/>
      <c r="Y51" s="64"/>
      <c r="Z51" s="64"/>
      <c r="AA51" s="64"/>
      <c r="AB51" s="64"/>
      <c r="AC51" s="64"/>
      <c r="AD51" s="130"/>
      <c r="AE51" s="130"/>
      <c r="AF51" s="130"/>
    </row>
    <row r="52" spans="1:32" s="28" customFormat="1" ht="15.75" customHeight="1" collapsed="1">
      <c r="A52" s="117"/>
      <c r="B52" s="334"/>
      <c r="C52" s="245"/>
      <c r="D52" s="442" t="s">
        <v>52</v>
      </c>
      <c r="E52" s="31"/>
      <c r="F52" s="31"/>
      <c r="G52" s="31"/>
      <c r="H52" s="31"/>
      <c r="I52" s="31"/>
      <c r="J52" s="31"/>
      <c r="K52" s="31"/>
      <c r="L52" s="31"/>
      <c r="M52" s="31"/>
      <c r="N52" s="31"/>
      <c r="O52" s="31"/>
      <c r="P52" s="31"/>
      <c r="Q52" s="143"/>
      <c r="R52" s="334"/>
      <c r="S52" s="228"/>
      <c r="T52" s="229"/>
      <c r="U52" s="229"/>
      <c r="V52" s="236"/>
      <c r="W52" s="236"/>
      <c r="X52" s="236"/>
      <c r="Y52" s="236"/>
      <c r="Z52" s="236"/>
      <c r="AA52" s="236"/>
      <c r="AB52" s="236"/>
      <c r="AC52" s="236"/>
      <c r="AD52" s="130"/>
      <c r="AE52" s="130"/>
      <c r="AF52" s="130"/>
    </row>
    <row r="53" spans="1:32" s="28" customFormat="1" ht="15.75" customHeight="1">
      <c r="A53" s="117"/>
      <c r="B53" s="334"/>
      <c r="C53" s="138"/>
      <c r="D53" s="734"/>
      <c r="E53" s="735"/>
      <c r="F53" s="735"/>
      <c r="G53" s="735"/>
      <c r="H53" s="735"/>
      <c r="I53" s="735"/>
      <c r="J53" s="735"/>
      <c r="K53" s="735"/>
      <c r="L53" s="735"/>
      <c r="M53" s="735"/>
      <c r="N53" s="735"/>
      <c r="O53" s="735"/>
      <c r="P53" s="736"/>
      <c r="Q53" s="139"/>
      <c r="R53" s="334"/>
      <c r="S53" s="132" t="s">
        <v>0</v>
      </c>
      <c r="T53" s="131"/>
      <c r="U53" s="131"/>
      <c r="V53" s="64"/>
      <c r="W53" s="64"/>
      <c r="X53" s="64"/>
      <c r="Y53" s="64"/>
      <c r="Z53" s="64"/>
      <c r="AA53" s="64"/>
      <c r="AB53" s="64"/>
      <c r="AC53" s="64"/>
      <c r="AD53" s="130"/>
      <c r="AE53" s="130"/>
      <c r="AF53" s="130"/>
    </row>
    <row r="54" spans="1:32" s="203" customFormat="1" ht="15.75" customHeight="1">
      <c r="A54" s="200"/>
      <c r="B54" s="334"/>
      <c r="C54" s="232"/>
      <c r="D54" s="442" t="s">
        <v>60</v>
      </c>
      <c r="E54" s="292" t="s">
        <v>18</v>
      </c>
      <c r="F54" s="749" t="s">
        <v>19</v>
      </c>
      <c r="G54" s="749"/>
      <c r="H54" s="749"/>
      <c r="I54" s="749"/>
      <c r="J54" s="749"/>
      <c r="K54" s="749"/>
      <c r="L54" s="749"/>
      <c r="M54" s="749"/>
      <c r="N54" s="749"/>
      <c r="O54" s="749"/>
      <c r="P54" s="292" t="s">
        <v>20</v>
      </c>
      <c r="Q54" s="137"/>
      <c r="R54" s="334"/>
      <c r="S54" s="204"/>
      <c r="T54" s="205"/>
      <c r="U54" s="205"/>
      <c r="V54" s="202"/>
      <c r="W54" s="202"/>
      <c r="X54" s="202"/>
      <c r="Y54" s="202"/>
      <c r="Z54" s="202"/>
      <c r="AA54" s="202"/>
      <c r="AB54" s="202"/>
      <c r="AC54" s="202"/>
      <c r="AD54" s="188"/>
      <c r="AE54" s="188"/>
      <c r="AF54" s="188"/>
    </row>
    <row r="55" spans="1:32" s="28" customFormat="1" ht="15.75" customHeight="1">
      <c r="A55" s="117"/>
      <c r="B55" s="334"/>
      <c r="C55" s="138"/>
      <c r="D55" s="541"/>
      <c r="E55" s="30" t="s">
        <v>229</v>
      </c>
      <c r="F55" s="71">
        <v>1</v>
      </c>
      <c r="G55" s="72">
        <v>2</v>
      </c>
      <c r="H55" s="73">
        <v>3</v>
      </c>
      <c r="I55" s="74">
        <v>4</v>
      </c>
      <c r="J55" s="75">
        <v>5</v>
      </c>
      <c r="K55" s="76">
        <v>6</v>
      </c>
      <c r="L55" s="77">
        <v>7</v>
      </c>
      <c r="M55" s="78">
        <v>8</v>
      </c>
      <c r="N55" s="79">
        <v>9</v>
      </c>
      <c r="O55" s="80">
        <v>10</v>
      </c>
      <c r="P55" s="32" t="s">
        <v>0</v>
      </c>
      <c r="Q55" s="139"/>
      <c r="R55" s="334"/>
      <c r="S55" s="133">
        <f>VLOOKUP($E55,R.VL_DEQResourcesInvolved,2,FALSE)</f>
        <v>0</v>
      </c>
      <c r="T55" s="121">
        <f>VLOOKUP($E55,R.VL_DEQResourcesInvolved,3,FALSE)</f>
        <v>0</v>
      </c>
      <c r="U55" s="121">
        <f>IF(S55=10,T55,VLOOKUP($E55,R.VL_DEQResourcesInvolved,4,FALSE))</f>
        <v>0</v>
      </c>
      <c r="V55" s="575" t="s">
        <v>554</v>
      </c>
      <c r="W55" s="64"/>
      <c r="X55" s="64"/>
      <c r="Y55" s="64"/>
      <c r="Z55" s="64"/>
      <c r="AA55" s="64"/>
      <c r="AB55" s="64"/>
      <c r="AC55" s="64"/>
      <c r="AD55" s="130"/>
      <c r="AE55" s="130"/>
      <c r="AF55" s="130"/>
    </row>
    <row r="56" spans="1:32" s="28" customFormat="1" ht="15.75" hidden="1" customHeight="1" outlineLevel="1">
      <c r="A56" s="117"/>
      <c r="B56" s="334"/>
      <c r="C56" s="138"/>
      <c r="D56" s="541"/>
      <c r="E56" s="30" t="s">
        <v>229</v>
      </c>
      <c r="F56" s="71">
        <v>1</v>
      </c>
      <c r="G56" s="72">
        <v>2</v>
      </c>
      <c r="H56" s="73">
        <v>3</v>
      </c>
      <c r="I56" s="74">
        <v>4</v>
      </c>
      <c r="J56" s="75">
        <v>5</v>
      </c>
      <c r="K56" s="76">
        <v>6</v>
      </c>
      <c r="L56" s="77">
        <v>7</v>
      </c>
      <c r="M56" s="78">
        <v>8</v>
      </c>
      <c r="N56" s="79">
        <v>9</v>
      </c>
      <c r="O56" s="80">
        <v>10</v>
      </c>
      <c r="P56" s="32" t="s">
        <v>0</v>
      </c>
      <c r="Q56" s="139"/>
      <c r="R56" s="334"/>
      <c r="S56" s="133">
        <f>VLOOKUP($E56,R.VL_DEQResourcesInvolved,2,FALSE)</f>
        <v>0</v>
      </c>
      <c r="T56" s="121">
        <f>VLOOKUP($E56,R.VL_DEQResourcesInvolved,3,FALSE)</f>
        <v>0</v>
      </c>
      <c r="U56" s="121">
        <f>IF(S56=10,T56,VLOOKUP($E56,R.VL_DEQResourcesInvolved,4,FALSE))</f>
        <v>0</v>
      </c>
      <c r="V56" s="64"/>
      <c r="W56" s="64"/>
      <c r="X56" s="64"/>
      <c r="Y56" s="64"/>
      <c r="Z56" s="64"/>
      <c r="AA56" s="64"/>
      <c r="AB56" s="64"/>
      <c r="AC56" s="64"/>
      <c r="AD56" s="130"/>
      <c r="AE56" s="130"/>
      <c r="AF56" s="130"/>
    </row>
    <row r="57" spans="1:32" s="28" customFormat="1" ht="15.75" hidden="1" customHeight="1" outlineLevel="1">
      <c r="A57" s="117"/>
      <c r="B57" s="334"/>
      <c r="C57" s="138"/>
      <c r="D57" s="541"/>
      <c r="E57" s="30" t="s">
        <v>229</v>
      </c>
      <c r="F57" s="71">
        <v>1</v>
      </c>
      <c r="G57" s="72">
        <v>2</v>
      </c>
      <c r="H57" s="73">
        <v>3</v>
      </c>
      <c r="I57" s="74">
        <v>4</v>
      </c>
      <c r="J57" s="75">
        <v>5</v>
      </c>
      <c r="K57" s="76">
        <v>6</v>
      </c>
      <c r="L57" s="77">
        <v>7</v>
      </c>
      <c r="M57" s="78">
        <v>8</v>
      </c>
      <c r="N57" s="79">
        <v>9</v>
      </c>
      <c r="O57" s="80">
        <v>10</v>
      </c>
      <c r="P57" s="32" t="s">
        <v>0</v>
      </c>
      <c r="Q57" s="139"/>
      <c r="R57" s="334"/>
      <c r="S57" s="133">
        <f>VLOOKUP($E57,R.VL_DEQResourcesInvolved,2,FALSE)</f>
        <v>0</v>
      </c>
      <c r="T57" s="121">
        <f>VLOOKUP($E57,R.VL_DEQResourcesInvolved,3,FALSE)</f>
        <v>0</v>
      </c>
      <c r="U57" s="121">
        <f>IF(S57=10,T57,VLOOKUP($E57,R.VL_DEQResourcesInvolved,4,FALSE))</f>
        <v>0</v>
      </c>
      <c r="V57" s="64"/>
      <c r="W57" s="64"/>
      <c r="X57" s="64"/>
      <c r="Y57" s="64"/>
      <c r="Z57" s="64"/>
      <c r="AA57" s="64"/>
      <c r="AB57" s="64"/>
      <c r="AC57" s="64"/>
      <c r="AD57" s="130"/>
      <c r="AE57" s="130"/>
      <c r="AF57" s="130"/>
    </row>
    <row r="58" spans="1:32" s="28" customFormat="1" ht="15.75" hidden="1" customHeight="1" outlineLevel="1">
      <c r="A58" s="117"/>
      <c r="B58" s="334"/>
      <c r="C58" s="138"/>
      <c r="D58" s="541"/>
      <c r="E58" s="30" t="s">
        <v>229</v>
      </c>
      <c r="F58" s="71">
        <v>1</v>
      </c>
      <c r="G58" s="72">
        <v>2</v>
      </c>
      <c r="H58" s="73">
        <v>3</v>
      </c>
      <c r="I58" s="74">
        <v>4</v>
      </c>
      <c r="J58" s="75">
        <v>5</v>
      </c>
      <c r="K58" s="76">
        <v>6</v>
      </c>
      <c r="L58" s="77">
        <v>7</v>
      </c>
      <c r="M58" s="78">
        <v>8</v>
      </c>
      <c r="N58" s="79">
        <v>9</v>
      </c>
      <c r="O58" s="80">
        <v>10</v>
      </c>
      <c r="P58" s="32" t="s">
        <v>0</v>
      </c>
      <c r="Q58" s="139"/>
      <c r="R58" s="334"/>
      <c r="S58" s="133">
        <f>VLOOKUP($E58,R.VL_DEQResourcesInvolved,2,FALSE)</f>
        <v>0</v>
      </c>
      <c r="T58" s="121">
        <f>VLOOKUP($E58,R.VL_DEQResourcesInvolved,3,FALSE)</f>
        <v>0</v>
      </c>
      <c r="U58" s="121">
        <f>IF(S58=10,T58,VLOOKUP($E58,R.VL_DEQResourcesInvolved,4,FALSE))</f>
        <v>0</v>
      </c>
      <c r="V58" s="64"/>
      <c r="W58" s="64"/>
      <c r="X58" s="64"/>
      <c r="Y58" s="64"/>
      <c r="Z58" s="64"/>
      <c r="AA58" s="64"/>
      <c r="AB58" s="64"/>
      <c r="AC58" s="64"/>
      <c r="AD58" s="130"/>
      <c r="AE58" s="130"/>
      <c r="AF58" s="130"/>
    </row>
    <row r="59" spans="1:32" s="28" customFormat="1" ht="14.25" customHeight="1" collapsed="1">
      <c r="A59" s="117"/>
      <c r="B59" s="334"/>
      <c r="C59" s="376"/>
      <c r="D59" s="481"/>
      <c r="E59" s="739"/>
      <c r="F59" s="739"/>
      <c r="G59" s="739"/>
      <c r="H59" s="739"/>
      <c r="I59" s="739"/>
      <c r="J59" s="739"/>
      <c r="K59" s="739"/>
      <c r="L59" s="739"/>
      <c r="M59" s="739"/>
      <c r="N59" s="739"/>
      <c r="O59" s="739"/>
      <c r="P59" s="739"/>
      <c r="Q59" s="379"/>
      <c r="R59" s="334"/>
      <c r="S59" s="132"/>
      <c r="T59" s="131"/>
      <c r="U59" s="131"/>
      <c r="V59" s="64"/>
      <c r="W59" s="64"/>
      <c r="X59" s="64"/>
      <c r="Y59" s="64"/>
      <c r="Z59" s="64"/>
      <c r="AA59" s="64"/>
      <c r="AB59" s="64"/>
      <c r="AC59" s="64"/>
      <c r="AD59" s="130"/>
      <c r="AE59" s="130"/>
      <c r="AF59" s="130"/>
    </row>
    <row r="60" spans="1:32" s="29" customFormat="1" ht="30" customHeight="1">
      <c r="A60" s="118"/>
      <c r="B60" s="334"/>
      <c r="C60" s="146"/>
      <c r="D60" s="644" t="str">
        <f>"Please suggest process improvements to the "&amp;D2&amp;" worksheet."</f>
        <v>Please suggest process improvements to the LEAD worksheet.</v>
      </c>
      <c r="E60" s="644"/>
      <c r="F60" s="84"/>
      <c r="G60" s="85"/>
      <c r="H60" s="86"/>
      <c r="I60" s="87"/>
      <c r="J60" s="88"/>
      <c r="K60" s="89"/>
      <c r="L60" s="90"/>
      <c r="M60" s="91"/>
      <c r="N60" s="92"/>
      <c r="O60" s="93"/>
      <c r="P60" s="39"/>
      <c r="Q60" s="147"/>
      <c r="R60" s="334"/>
      <c r="S60" s="134"/>
      <c r="T60" s="131"/>
      <c r="U60" s="131"/>
      <c r="V60" s="64"/>
      <c r="W60" s="64"/>
      <c r="X60" s="64"/>
      <c r="Y60" s="64"/>
      <c r="Z60" s="64"/>
      <c r="AA60" s="64"/>
      <c r="AB60" s="64"/>
      <c r="AC60" s="64"/>
      <c r="AD60" s="65"/>
      <c r="AE60" s="65"/>
      <c r="AF60" s="65"/>
    </row>
    <row r="61" spans="1:32" s="6" customFormat="1" ht="30.75" customHeight="1">
      <c r="A61" s="350"/>
      <c r="B61" s="334"/>
      <c r="C61" s="136"/>
      <c r="D61" s="641"/>
      <c r="E61" s="642"/>
      <c r="F61" s="642"/>
      <c r="G61" s="642"/>
      <c r="H61" s="642"/>
      <c r="I61" s="642"/>
      <c r="J61" s="642"/>
      <c r="K61" s="642"/>
      <c r="L61" s="642"/>
      <c r="M61" s="642"/>
      <c r="N61" s="642"/>
      <c r="O61" s="642"/>
      <c r="P61" s="643"/>
      <c r="Q61" s="148"/>
      <c r="R61" s="334"/>
      <c r="S61" s="132"/>
      <c r="T61" s="131"/>
      <c r="U61" s="131"/>
      <c r="V61" s="64"/>
      <c r="W61" s="64"/>
      <c r="X61" s="64"/>
      <c r="Y61" s="64"/>
      <c r="Z61" s="64"/>
      <c r="AA61" s="64"/>
      <c r="AB61" s="64"/>
      <c r="AC61" s="64"/>
      <c r="AD61" s="66"/>
      <c r="AE61" s="66"/>
      <c r="AF61" s="66"/>
    </row>
    <row r="62" spans="1:32" ht="18" customHeight="1">
      <c r="A62" s="350" t="s">
        <v>108</v>
      </c>
      <c r="B62" s="334"/>
      <c r="C62" s="149"/>
      <c r="D62" s="150"/>
      <c r="E62" s="150"/>
      <c r="F62" s="150"/>
      <c r="G62" s="150"/>
      <c r="H62" s="150"/>
      <c r="I62" s="150"/>
      <c r="J62" s="150"/>
      <c r="K62" s="150"/>
      <c r="L62" s="150"/>
      <c r="M62" s="150"/>
      <c r="N62" s="150"/>
      <c r="O62" s="150"/>
      <c r="P62" s="150"/>
      <c r="Q62" s="151"/>
      <c r="R62" s="334"/>
    </row>
    <row r="63" spans="1:32" s="64" customFormat="1" ht="14.25">
      <c r="B63" s="334"/>
      <c r="C63" s="334"/>
      <c r="D63" s="334"/>
      <c r="E63" s="334"/>
      <c r="F63" s="334"/>
      <c r="G63" s="334"/>
      <c r="H63" s="334"/>
      <c r="I63" s="334"/>
      <c r="J63" s="334"/>
      <c r="K63" s="334"/>
      <c r="L63" s="334"/>
      <c r="M63" s="334"/>
      <c r="N63" s="334"/>
      <c r="O63" s="334"/>
      <c r="P63" s="334"/>
      <c r="Q63" s="334"/>
      <c r="R63" s="334"/>
      <c r="S63" s="113"/>
    </row>
    <row r="64" spans="1:32" s="64" customFormat="1">
      <c r="C64" s="112"/>
      <c r="S64" s="113"/>
    </row>
    <row r="65" spans="3:19" s="64" customFormat="1">
      <c r="C65" s="112"/>
      <c r="S65" s="113"/>
    </row>
    <row r="66" spans="3:19" s="64" customFormat="1">
      <c r="C66" s="112"/>
      <c r="S66" s="113"/>
    </row>
    <row r="67" spans="3:19" s="64" customFormat="1">
      <c r="C67" s="112"/>
      <c r="S67" s="113"/>
    </row>
    <row r="68" spans="3:19" s="64" customFormat="1">
      <c r="C68" s="112"/>
      <c r="S68" s="113"/>
    </row>
    <row r="69" spans="3:19" s="64" customFormat="1">
      <c r="C69" s="112"/>
      <c r="S69" s="113"/>
    </row>
    <row r="70" spans="3:19" s="64" customFormat="1">
      <c r="C70" s="112"/>
      <c r="S70" s="113"/>
    </row>
    <row r="71" spans="3:19" s="64" customFormat="1">
      <c r="C71" s="112"/>
      <c r="S71" s="113"/>
    </row>
  </sheetData>
  <sheetProtection sheet="1" scenarios="1" formatCells="0" formatRows="0" insertHyperlinks="0"/>
  <mergeCells count="27">
    <mergeCell ref="E2:P2"/>
    <mergeCell ref="M4:P4"/>
    <mergeCell ref="F5:L5"/>
    <mergeCell ref="M5:P5"/>
    <mergeCell ref="D3:E3"/>
    <mergeCell ref="F6:L6"/>
    <mergeCell ref="M6:P6"/>
    <mergeCell ref="D14:P14"/>
    <mergeCell ref="F15:O15"/>
    <mergeCell ref="D8:P8"/>
    <mergeCell ref="D9:P9"/>
    <mergeCell ref="D10:P10"/>
    <mergeCell ref="D21:P21"/>
    <mergeCell ref="E27:P27"/>
    <mergeCell ref="F22:O22"/>
    <mergeCell ref="E59:P59"/>
    <mergeCell ref="D61:P61"/>
    <mergeCell ref="D30:P30"/>
    <mergeCell ref="D37:P37"/>
    <mergeCell ref="E43:P43"/>
    <mergeCell ref="D46:P46"/>
    <mergeCell ref="F47:O47"/>
    <mergeCell ref="D53:P53"/>
    <mergeCell ref="F31:O31"/>
    <mergeCell ref="F38:O38"/>
    <mergeCell ref="D60:E60"/>
    <mergeCell ref="F54:O54"/>
  </mergeCells>
  <conditionalFormatting sqref="F62:O62 F16:O19 F23:O28 F32:O35 F39:O43 F48:O51 F55:O60">
    <cfRule type="colorScale" priority="220">
      <colorScale>
        <cfvo type="num" val="0"/>
        <cfvo type="num" val="5"/>
        <cfvo type="num" val="10"/>
        <color rgb="FF00B050"/>
        <color rgb="FFFFFF00"/>
        <color rgb="FFFF0000"/>
      </colorScale>
    </cfRule>
  </conditionalFormatting>
  <conditionalFormatting sqref="N27:N28 N60 N62">
    <cfRule type="expression" dxfId="1169" priority="219" stopIfTrue="1">
      <formula>IF($S27&lt;9,TRUE,)</formula>
    </cfRule>
  </conditionalFormatting>
  <conditionalFormatting sqref="M27:M28 M60 M62">
    <cfRule type="expression" dxfId="1168" priority="218" stopIfTrue="1">
      <formula>IF($S27&lt;8,TRUE,)</formula>
    </cfRule>
  </conditionalFormatting>
  <conditionalFormatting sqref="L27:L28 L60 L62">
    <cfRule type="expression" dxfId="1167" priority="217" stopIfTrue="1">
      <formula>IF($S27&lt;7,TRUE,)</formula>
    </cfRule>
  </conditionalFormatting>
  <conditionalFormatting sqref="K27:K28 K60 K62">
    <cfRule type="expression" dxfId="1166" priority="216" stopIfTrue="1">
      <formula>IF($S27&lt;6,TRUE,)</formula>
    </cfRule>
  </conditionalFormatting>
  <conditionalFormatting sqref="J27:J28 J60 J62">
    <cfRule type="expression" dxfId="1165" priority="215" stopIfTrue="1">
      <formula>IF($S27&lt;5,TRUE,)</formula>
    </cfRule>
  </conditionalFormatting>
  <conditionalFormatting sqref="I27:I28 I60 I62">
    <cfRule type="expression" dxfId="1164" priority="214" stopIfTrue="1">
      <formula>IF($S27&lt;4,TRUE,)</formula>
    </cfRule>
  </conditionalFormatting>
  <conditionalFormatting sqref="H27:H28 H60 H62">
    <cfRule type="expression" dxfId="1163" priority="213" stopIfTrue="1">
      <formula>IF($S27&lt;3,TRUE,)</formula>
    </cfRule>
  </conditionalFormatting>
  <conditionalFormatting sqref="G27:G28 G60 G62">
    <cfRule type="expression" dxfId="1162" priority="212" stopIfTrue="1">
      <formula>IF($S27&lt;2,TRUE,)</formula>
    </cfRule>
  </conditionalFormatting>
  <conditionalFormatting sqref="F27:F28 F60 F62">
    <cfRule type="expression" dxfId="1161" priority="211" stopIfTrue="1">
      <formula>IF($S27&lt;1,TRUE,)</formula>
    </cfRule>
  </conditionalFormatting>
  <conditionalFormatting sqref="O27:O28 O60 O62">
    <cfRule type="expression" dxfId="1160" priority="210" stopIfTrue="1">
      <formula>IF($S27&lt;10,TRUE,)</formula>
    </cfRule>
  </conditionalFormatting>
  <conditionalFormatting sqref="N16:N17">
    <cfRule type="expression" dxfId="1159" priority="208" stopIfTrue="1">
      <formula>IF($S16&lt;9,TRUE,)</formula>
    </cfRule>
  </conditionalFormatting>
  <conditionalFormatting sqref="M16:M17">
    <cfRule type="expression" dxfId="1158" priority="207" stopIfTrue="1">
      <formula>IF($S16&lt;8,TRUE,)</formula>
    </cfRule>
  </conditionalFormatting>
  <conditionalFormatting sqref="L16:L17">
    <cfRule type="expression" dxfId="1157" priority="206" stopIfTrue="1">
      <formula>IF($S16&lt;7,TRUE,)</formula>
    </cfRule>
  </conditionalFormatting>
  <conditionalFormatting sqref="K16:K17">
    <cfRule type="expression" dxfId="1156" priority="205" stopIfTrue="1">
      <formula>IF($S16&lt;6,TRUE,)</formula>
    </cfRule>
  </conditionalFormatting>
  <conditionalFormatting sqref="J16:J17">
    <cfRule type="expression" dxfId="1155" priority="204" stopIfTrue="1">
      <formula>IF($S16&lt;5,TRUE,)</formula>
    </cfRule>
  </conditionalFormatting>
  <conditionalFormatting sqref="I16:I17">
    <cfRule type="expression" dxfId="1154" priority="203" stopIfTrue="1">
      <formula>IF($S16&lt;4,TRUE,)</formula>
    </cfRule>
  </conditionalFormatting>
  <conditionalFormatting sqref="H16:H17">
    <cfRule type="expression" dxfId="1153" priority="202" stopIfTrue="1">
      <formula>IF($S16&lt;3,TRUE,)</formula>
    </cfRule>
  </conditionalFormatting>
  <conditionalFormatting sqref="G16:G17">
    <cfRule type="expression" dxfId="1152" priority="201" stopIfTrue="1">
      <formula>IF($S16&lt;2,TRUE,)</formula>
    </cfRule>
  </conditionalFormatting>
  <conditionalFormatting sqref="F16:F17">
    <cfRule type="expression" dxfId="1151" priority="200" stopIfTrue="1">
      <formula>IF($S16&lt;1,TRUE,)</formula>
    </cfRule>
  </conditionalFormatting>
  <conditionalFormatting sqref="O16:O17">
    <cfRule type="expression" dxfId="1150" priority="199" stopIfTrue="1">
      <formula>IF($S16&lt;10,TRUE,)</formula>
    </cfRule>
  </conditionalFormatting>
  <conditionalFormatting sqref="N23:N24">
    <cfRule type="expression" dxfId="1149" priority="197" stopIfTrue="1">
      <formula>IF($S23&lt;9,TRUE,)</formula>
    </cfRule>
  </conditionalFormatting>
  <conditionalFormatting sqref="M23:M24">
    <cfRule type="expression" dxfId="1148" priority="196" stopIfTrue="1">
      <formula>IF($S23&lt;8,TRUE,)</formula>
    </cfRule>
  </conditionalFormatting>
  <conditionalFormatting sqref="L23:L24">
    <cfRule type="expression" dxfId="1147" priority="195" stopIfTrue="1">
      <formula>IF($S23&lt;7,TRUE,)</formula>
    </cfRule>
  </conditionalFormatting>
  <conditionalFormatting sqref="K23:K24">
    <cfRule type="expression" dxfId="1146" priority="194" stopIfTrue="1">
      <formula>IF($S23&lt;6,TRUE,)</formula>
    </cfRule>
  </conditionalFormatting>
  <conditionalFormatting sqref="J23:J24">
    <cfRule type="expression" dxfId="1145" priority="193" stopIfTrue="1">
      <formula>IF($S23&lt;5,TRUE,)</formula>
    </cfRule>
  </conditionalFormatting>
  <conditionalFormatting sqref="I23:I24">
    <cfRule type="expression" dxfId="1144" priority="192" stopIfTrue="1">
      <formula>IF($S23&lt;4,TRUE,)</formula>
    </cfRule>
  </conditionalFormatting>
  <conditionalFormatting sqref="H23:H24">
    <cfRule type="expression" dxfId="1143" priority="191" stopIfTrue="1">
      <formula>IF($S23&lt;3,TRUE,)</formula>
    </cfRule>
  </conditionalFormatting>
  <conditionalFormatting sqref="G23:G24">
    <cfRule type="expression" dxfId="1142" priority="190" stopIfTrue="1">
      <formula>IF($S23&lt;2,TRUE,)</formula>
    </cfRule>
  </conditionalFormatting>
  <conditionalFormatting sqref="F23:F24">
    <cfRule type="expression" dxfId="1141" priority="189" stopIfTrue="1">
      <formula>IF($S23&lt;1,TRUE,)</formula>
    </cfRule>
  </conditionalFormatting>
  <conditionalFormatting sqref="O23:O24">
    <cfRule type="expression" dxfId="1140" priority="188" stopIfTrue="1">
      <formula>IF($S23&lt;10,TRUE,)</formula>
    </cfRule>
  </conditionalFormatting>
  <conditionalFormatting sqref="N43">
    <cfRule type="expression" dxfId="1139" priority="186" stopIfTrue="1">
      <formula>IF($S43&lt;9,TRUE,)</formula>
    </cfRule>
  </conditionalFormatting>
  <conditionalFormatting sqref="M43">
    <cfRule type="expression" dxfId="1138" priority="185" stopIfTrue="1">
      <formula>IF($S43&lt;8,TRUE,)</formula>
    </cfRule>
  </conditionalFormatting>
  <conditionalFormatting sqref="L43">
    <cfRule type="expression" dxfId="1137" priority="184" stopIfTrue="1">
      <formula>IF($S43&lt;7,TRUE,)</formula>
    </cfRule>
  </conditionalFormatting>
  <conditionalFormatting sqref="K43">
    <cfRule type="expression" dxfId="1136" priority="183" stopIfTrue="1">
      <formula>IF($S43&lt;6,TRUE,)</formula>
    </cfRule>
  </conditionalFormatting>
  <conditionalFormatting sqref="J43">
    <cfRule type="expression" dxfId="1135" priority="182" stopIfTrue="1">
      <formula>IF($S43&lt;5,TRUE,)</formula>
    </cfRule>
  </conditionalFormatting>
  <conditionalFormatting sqref="I43">
    <cfRule type="expression" dxfId="1134" priority="181" stopIfTrue="1">
      <formula>IF($S43&lt;4,TRUE,)</formula>
    </cfRule>
  </conditionalFormatting>
  <conditionalFormatting sqref="H43">
    <cfRule type="expression" dxfId="1133" priority="180" stopIfTrue="1">
      <formula>IF($S43&lt;3,TRUE,)</formula>
    </cfRule>
  </conditionalFormatting>
  <conditionalFormatting sqref="G43">
    <cfRule type="expression" dxfId="1132" priority="179" stopIfTrue="1">
      <formula>IF($S43&lt;2,TRUE,)</formula>
    </cfRule>
  </conditionalFormatting>
  <conditionalFormatting sqref="F43">
    <cfRule type="expression" dxfId="1131" priority="178" stopIfTrue="1">
      <formula>IF($S43&lt;1,TRUE,)</formula>
    </cfRule>
  </conditionalFormatting>
  <conditionalFormatting sqref="O43">
    <cfRule type="expression" dxfId="1130" priority="177" stopIfTrue="1">
      <formula>IF($S43&lt;10,TRUE,)</formula>
    </cfRule>
  </conditionalFormatting>
  <conditionalFormatting sqref="N32:N33">
    <cfRule type="expression" dxfId="1129" priority="175" stopIfTrue="1">
      <formula>IF($S32&lt;9,TRUE,)</formula>
    </cfRule>
  </conditionalFormatting>
  <conditionalFormatting sqref="M32:M33">
    <cfRule type="expression" dxfId="1128" priority="174" stopIfTrue="1">
      <formula>IF($S32&lt;8,TRUE,)</formula>
    </cfRule>
  </conditionalFormatting>
  <conditionalFormatting sqref="L32:L33">
    <cfRule type="expression" dxfId="1127" priority="173" stopIfTrue="1">
      <formula>IF($S32&lt;7,TRUE,)</formula>
    </cfRule>
  </conditionalFormatting>
  <conditionalFormatting sqref="K32:K33">
    <cfRule type="expression" dxfId="1126" priority="172" stopIfTrue="1">
      <formula>IF($S32&lt;6,TRUE,)</formula>
    </cfRule>
  </conditionalFormatting>
  <conditionalFormatting sqref="J32:J33">
    <cfRule type="expression" dxfId="1125" priority="171" stopIfTrue="1">
      <formula>IF($S32&lt;5,TRUE,)</formula>
    </cfRule>
  </conditionalFormatting>
  <conditionalFormatting sqref="I32:I33">
    <cfRule type="expression" dxfId="1124" priority="170" stopIfTrue="1">
      <formula>IF($S32&lt;4,TRUE,)</formula>
    </cfRule>
  </conditionalFormatting>
  <conditionalFormatting sqref="H32:H33">
    <cfRule type="expression" dxfId="1123" priority="169" stopIfTrue="1">
      <formula>IF($S32&lt;3,TRUE,)</formula>
    </cfRule>
  </conditionalFormatting>
  <conditionalFormatting sqref="G32:G33">
    <cfRule type="expression" dxfId="1122" priority="168" stopIfTrue="1">
      <formula>IF($S32&lt;2,TRUE,)</formula>
    </cfRule>
  </conditionalFormatting>
  <conditionalFormatting sqref="F32:F33">
    <cfRule type="expression" dxfId="1121" priority="167" stopIfTrue="1">
      <formula>IF($S32&lt;1,TRUE,)</formula>
    </cfRule>
  </conditionalFormatting>
  <conditionalFormatting sqref="O32:O33">
    <cfRule type="expression" dxfId="1120" priority="166" stopIfTrue="1">
      <formula>IF($S32&lt;10,TRUE,)</formula>
    </cfRule>
  </conditionalFormatting>
  <conditionalFormatting sqref="N39:N40">
    <cfRule type="expression" dxfId="1119" priority="164" stopIfTrue="1">
      <formula>IF($S39&lt;9,TRUE,)</formula>
    </cfRule>
  </conditionalFormatting>
  <conditionalFormatting sqref="M39:M40">
    <cfRule type="expression" dxfId="1118" priority="163" stopIfTrue="1">
      <formula>IF($S39&lt;8,TRUE,)</formula>
    </cfRule>
  </conditionalFormatting>
  <conditionalFormatting sqref="L39:L40">
    <cfRule type="expression" dxfId="1117" priority="162" stopIfTrue="1">
      <formula>IF($S39&lt;7,TRUE,)</formula>
    </cfRule>
  </conditionalFormatting>
  <conditionalFormatting sqref="K39:K40">
    <cfRule type="expression" dxfId="1116" priority="161" stopIfTrue="1">
      <formula>IF($S39&lt;6,TRUE,)</formula>
    </cfRule>
  </conditionalFormatting>
  <conditionalFormatting sqref="J39:J40">
    <cfRule type="expression" dxfId="1115" priority="160" stopIfTrue="1">
      <formula>IF($S39&lt;5,TRUE,)</formula>
    </cfRule>
  </conditionalFormatting>
  <conditionalFormatting sqref="I39:I40">
    <cfRule type="expression" dxfId="1114" priority="159" stopIfTrue="1">
      <formula>IF($S39&lt;4,TRUE,)</formula>
    </cfRule>
  </conditionalFormatting>
  <conditionalFormatting sqref="H39:H40">
    <cfRule type="expression" dxfId="1113" priority="158" stopIfTrue="1">
      <formula>IF($S39&lt;3,TRUE,)</formula>
    </cfRule>
  </conditionalFormatting>
  <conditionalFormatting sqref="G39:G40">
    <cfRule type="expression" dxfId="1112" priority="157" stopIfTrue="1">
      <formula>IF($S39&lt;2,TRUE,)</formula>
    </cfRule>
  </conditionalFormatting>
  <conditionalFormatting sqref="F39:F40">
    <cfRule type="expression" dxfId="1111" priority="156" stopIfTrue="1">
      <formula>IF($S39&lt;1,TRUE,)</formula>
    </cfRule>
  </conditionalFormatting>
  <conditionalFormatting sqref="O39:O40">
    <cfRule type="expression" dxfId="1110" priority="155" stopIfTrue="1">
      <formula>IF($S39&lt;10,TRUE,)</formula>
    </cfRule>
  </conditionalFormatting>
  <conditionalFormatting sqref="N18:N19">
    <cfRule type="expression" dxfId="1109" priority="153" stopIfTrue="1">
      <formula>IF($S18&lt;9,TRUE,)</formula>
    </cfRule>
  </conditionalFormatting>
  <conditionalFormatting sqref="M18:M19">
    <cfRule type="expression" dxfId="1108" priority="152" stopIfTrue="1">
      <formula>IF($S18&lt;8,TRUE,)</formula>
    </cfRule>
  </conditionalFormatting>
  <conditionalFormatting sqref="L18:L19">
    <cfRule type="expression" dxfId="1107" priority="151" stopIfTrue="1">
      <formula>IF($S18&lt;7,TRUE,)</formula>
    </cfRule>
  </conditionalFormatting>
  <conditionalFormatting sqref="K18:K19">
    <cfRule type="expression" dxfId="1106" priority="150" stopIfTrue="1">
      <formula>IF($S18&lt;6,TRUE,)</formula>
    </cfRule>
  </conditionalFormatting>
  <conditionalFormatting sqref="J18:J19">
    <cfRule type="expression" dxfId="1105" priority="149" stopIfTrue="1">
      <formula>IF($S18&lt;5,TRUE,)</formula>
    </cfRule>
  </conditionalFormatting>
  <conditionalFormatting sqref="I18:I19">
    <cfRule type="expression" dxfId="1104" priority="148" stopIfTrue="1">
      <formula>IF($S18&lt;4,TRUE,)</formula>
    </cfRule>
  </conditionalFormatting>
  <conditionalFormatting sqref="H18:H19">
    <cfRule type="expression" dxfId="1103" priority="147" stopIfTrue="1">
      <formula>IF($S18&lt;3,TRUE,)</formula>
    </cfRule>
  </conditionalFormatting>
  <conditionalFormatting sqref="G18:G19">
    <cfRule type="expression" dxfId="1102" priority="146" stopIfTrue="1">
      <formula>IF($S18&lt;2,TRUE,)</formula>
    </cfRule>
  </conditionalFormatting>
  <conditionalFormatting sqref="F18:F19">
    <cfRule type="expression" dxfId="1101" priority="145" stopIfTrue="1">
      <formula>IF($S18&lt;1,TRUE,)</formula>
    </cfRule>
  </conditionalFormatting>
  <conditionalFormatting sqref="O18:O19">
    <cfRule type="expression" dxfId="1100" priority="144" stopIfTrue="1">
      <formula>IF($S18&lt;10,TRUE,)</formula>
    </cfRule>
  </conditionalFormatting>
  <conditionalFormatting sqref="N25:N26">
    <cfRule type="expression" dxfId="1099" priority="142" stopIfTrue="1">
      <formula>IF($S25&lt;9,TRUE,)</formula>
    </cfRule>
  </conditionalFormatting>
  <conditionalFormatting sqref="M25:M26">
    <cfRule type="expression" dxfId="1098" priority="141" stopIfTrue="1">
      <formula>IF($S25&lt;8,TRUE,)</formula>
    </cfRule>
  </conditionalFormatting>
  <conditionalFormatting sqref="L25:L26">
    <cfRule type="expression" dxfId="1097" priority="140" stopIfTrue="1">
      <formula>IF($S25&lt;7,TRUE,)</formula>
    </cfRule>
  </conditionalFormatting>
  <conditionalFormatting sqref="K25:K26">
    <cfRule type="expression" dxfId="1096" priority="139" stopIfTrue="1">
      <formula>IF($S25&lt;6,TRUE,)</formula>
    </cfRule>
  </conditionalFormatting>
  <conditionalFormatting sqref="J25:J26">
    <cfRule type="expression" dxfId="1095" priority="138" stopIfTrue="1">
      <formula>IF($S25&lt;5,TRUE,)</formula>
    </cfRule>
  </conditionalFormatting>
  <conditionalFormatting sqref="I25:I26">
    <cfRule type="expression" dxfId="1094" priority="137" stopIfTrue="1">
      <formula>IF($S25&lt;4,TRUE,)</formula>
    </cfRule>
  </conditionalFormatting>
  <conditionalFormatting sqref="H25:H26">
    <cfRule type="expression" dxfId="1093" priority="136" stopIfTrue="1">
      <formula>IF($S25&lt;3,TRUE,)</formula>
    </cfRule>
  </conditionalFormatting>
  <conditionalFormatting sqref="G25:G26">
    <cfRule type="expression" dxfId="1092" priority="135" stopIfTrue="1">
      <formula>IF($S25&lt;2,TRUE,)</formula>
    </cfRule>
  </conditionalFormatting>
  <conditionalFormatting sqref="F25:F26">
    <cfRule type="expression" dxfId="1091" priority="134" stopIfTrue="1">
      <formula>IF($S25&lt;1,TRUE,)</formula>
    </cfRule>
  </conditionalFormatting>
  <conditionalFormatting sqref="O25:O26">
    <cfRule type="expression" dxfId="1090" priority="133" stopIfTrue="1">
      <formula>IF($S25&lt;10,TRUE,)</formula>
    </cfRule>
  </conditionalFormatting>
  <conditionalFormatting sqref="N34:N35">
    <cfRule type="expression" dxfId="1089" priority="131" stopIfTrue="1">
      <formula>IF($S34&lt;9,TRUE,)</formula>
    </cfRule>
  </conditionalFormatting>
  <conditionalFormatting sqref="M34:M35">
    <cfRule type="expression" dxfId="1088" priority="130" stopIfTrue="1">
      <formula>IF($S34&lt;8,TRUE,)</formula>
    </cfRule>
  </conditionalFormatting>
  <conditionalFormatting sqref="L34:L35">
    <cfRule type="expression" dxfId="1087" priority="129" stopIfTrue="1">
      <formula>IF($S34&lt;7,TRUE,)</formula>
    </cfRule>
  </conditionalFormatting>
  <conditionalFormatting sqref="K34:K35">
    <cfRule type="expression" dxfId="1086" priority="128" stopIfTrue="1">
      <formula>IF($S34&lt;6,TRUE,)</formula>
    </cfRule>
  </conditionalFormatting>
  <conditionalFormatting sqref="J34:J35">
    <cfRule type="expression" dxfId="1085" priority="127" stopIfTrue="1">
      <formula>IF($S34&lt;5,TRUE,)</formula>
    </cfRule>
  </conditionalFormatting>
  <conditionalFormatting sqref="I34:I35">
    <cfRule type="expression" dxfId="1084" priority="126" stopIfTrue="1">
      <formula>IF($S34&lt;4,TRUE,)</formula>
    </cfRule>
  </conditionalFormatting>
  <conditionalFormatting sqref="H34:H35">
    <cfRule type="expression" dxfId="1083" priority="125" stopIfTrue="1">
      <formula>IF($S34&lt;3,TRUE,)</formula>
    </cfRule>
  </conditionalFormatting>
  <conditionalFormatting sqref="G34:G35">
    <cfRule type="expression" dxfId="1082" priority="124" stopIfTrue="1">
      <formula>IF($S34&lt;2,TRUE,)</formula>
    </cfRule>
  </conditionalFormatting>
  <conditionalFormatting sqref="F34:F35">
    <cfRule type="expression" dxfId="1081" priority="123" stopIfTrue="1">
      <formula>IF($S34&lt;1,TRUE,)</formula>
    </cfRule>
  </conditionalFormatting>
  <conditionalFormatting sqref="O34:O35">
    <cfRule type="expression" dxfId="1080" priority="122" stopIfTrue="1">
      <formula>IF($S34&lt;10,TRUE,)</formula>
    </cfRule>
  </conditionalFormatting>
  <conditionalFormatting sqref="N41:N42">
    <cfRule type="expression" dxfId="1079" priority="120" stopIfTrue="1">
      <formula>IF($S41&lt;9,TRUE,)</formula>
    </cfRule>
  </conditionalFormatting>
  <conditionalFormatting sqref="M41:M42">
    <cfRule type="expression" dxfId="1078" priority="119" stopIfTrue="1">
      <formula>IF($S41&lt;8,TRUE,)</formula>
    </cfRule>
  </conditionalFormatting>
  <conditionalFormatting sqref="L41:L42">
    <cfRule type="expression" dxfId="1077" priority="118" stopIfTrue="1">
      <formula>IF($S41&lt;7,TRUE,)</formula>
    </cfRule>
  </conditionalFormatting>
  <conditionalFormatting sqref="K41:K42">
    <cfRule type="expression" dxfId="1076" priority="117" stopIfTrue="1">
      <formula>IF($S41&lt;6,TRUE,)</formula>
    </cfRule>
  </conditionalFormatting>
  <conditionalFormatting sqref="J41:J42">
    <cfRule type="expression" dxfId="1075" priority="116" stopIfTrue="1">
      <formula>IF($S41&lt;5,TRUE,)</formula>
    </cfRule>
  </conditionalFormatting>
  <conditionalFormatting sqref="I41:I42">
    <cfRule type="expression" dxfId="1074" priority="115" stopIfTrue="1">
      <formula>IF($S41&lt;4,TRUE,)</formula>
    </cfRule>
  </conditionalFormatting>
  <conditionalFormatting sqref="H41:H42">
    <cfRule type="expression" dxfId="1073" priority="114" stopIfTrue="1">
      <formula>IF($S41&lt;3,TRUE,)</formula>
    </cfRule>
  </conditionalFormatting>
  <conditionalFormatting sqref="G41:G42">
    <cfRule type="expression" dxfId="1072" priority="113" stopIfTrue="1">
      <formula>IF($S41&lt;2,TRUE,)</formula>
    </cfRule>
  </conditionalFormatting>
  <conditionalFormatting sqref="F41:F42">
    <cfRule type="expression" dxfId="1071" priority="112" stopIfTrue="1">
      <formula>IF($S41&lt;1,TRUE,)</formula>
    </cfRule>
  </conditionalFormatting>
  <conditionalFormatting sqref="O41:O42">
    <cfRule type="expression" dxfId="1070" priority="111" stopIfTrue="1">
      <formula>IF($S41&lt;10,TRUE,)</formula>
    </cfRule>
  </conditionalFormatting>
  <conditionalFormatting sqref="N59">
    <cfRule type="expression" dxfId="1069" priority="109" stopIfTrue="1">
      <formula>IF($S59&lt;9,TRUE,)</formula>
    </cfRule>
  </conditionalFormatting>
  <conditionalFormatting sqref="M59">
    <cfRule type="expression" dxfId="1068" priority="108" stopIfTrue="1">
      <formula>IF($S59&lt;8,TRUE,)</formula>
    </cfRule>
  </conditionalFormatting>
  <conditionalFormatting sqref="L59">
    <cfRule type="expression" dxfId="1067" priority="107" stopIfTrue="1">
      <formula>IF($S59&lt;7,TRUE,)</formula>
    </cfRule>
  </conditionalFormatting>
  <conditionalFormatting sqref="K59">
    <cfRule type="expression" dxfId="1066" priority="106" stopIfTrue="1">
      <formula>IF($S59&lt;6,TRUE,)</formula>
    </cfRule>
  </conditionalFormatting>
  <conditionalFormatting sqref="J59">
    <cfRule type="expression" dxfId="1065" priority="105" stopIfTrue="1">
      <formula>IF($S59&lt;5,TRUE,)</formula>
    </cfRule>
  </conditionalFormatting>
  <conditionalFormatting sqref="I59">
    <cfRule type="expression" dxfId="1064" priority="104" stopIfTrue="1">
      <formula>IF($S59&lt;4,TRUE,)</formula>
    </cfRule>
  </conditionalFormatting>
  <conditionalFormatting sqref="H59">
    <cfRule type="expression" dxfId="1063" priority="103" stopIfTrue="1">
      <formula>IF($S59&lt;3,TRUE,)</formula>
    </cfRule>
  </conditionalFormatting>
  <conditionalFormatting sqref="G59">
    <cfRule type="expression" dxfId="1062" priority="102" stopIfTrue="1">
      <formula>IF($S59&lt;2,TRUE,)</formula>
    </cfRule>
  </conditionalFormatting>
  <conditionalFormatting sqref="F59">
    <cfRule type="expression" dxfId="1061" priority="101" stopIfTrue="1">
      <formula>IF($S59&lt;1,TRUE,)</formula>
    </cfRule>
  </conditionalFormatting>
  <conditionalFormatting sqref="O59">
    <cfRule type="expression" dxfId="1060" priority="100" stopIfTrue="1">
      <formula>IF($S59&lt;10,TRUE,)</formula>
    </cfRule>
  </conditionalFormatting>
  <conditionalFormatting sqref="N48:N49">
    <cfRule type="expression" dxfId="1059" priority="98" stopIfTrue="1">
      <formula>IF($S48&lt;9,TRUE,)</formula>
    </cfRule>
  </conditionalFormatting>
  <conditionalFormatting sqref="M48:M49">
    <cfRule type="expression" dxfId="1058" priority="97" stopIfTrue="1">
      <formula>IF($S48&lt;8,TRUE,)</formula>
    </cfRule>
  </conditionalFormatting>
  <conditionalFormatting sqref="L48:L49">
    <cfRule type="expression" dxfId="1057" priority="96" stopIfTrue="1">
      <formula>IF($S48&lt;7,TRUE,)</formula>
    </cfRule>
  </conditionalFormatting>
  <conditionalFormatting sqref="K48:K49">
    <cfRule type="expression" dxfId="1056" priority="95" stopIfTrue="1">
      <formula>IF($S48&lt;6,TRUE,)</formula>
    </cfRule>
  </conditionalFormatting>
  <conditionalFormatting sqref="J48:J49">
    <cfRule type="expression" dxfId="1055" priority="94" stopIfTrue="1">
      <formula>IF($S48&lt;5,TRUE,)</formula>
    </cfRule>
  </conditionalFormatting>
  <conditionalFormatting sqref="I48:I49">
    <cfRule type="expression" dxfId="1054" priority="93" stopIfTrue="1">
      <formula>IF($S48&lt;4,TRUE,)</formula>
    </cfRule>
  </conditionalFormatting>
  <conditionalFormatting sqref="H48:H49">
    <cfRule type="expression" dxfId="1053" priority="92" stopIfTrue="1">
      <formula>IF($S48&lt;3,TRUE,)</formula>
    </cfRule>
  </conditionalFormatting>
  <conditionalFormatting sqref="G48:G49">
    <cfRule type="expression" dxfId="1052" priority="91" stopIfTrue="1">
      <formula>IF($S48&lt;2,TRUE,)</formula>
    </cfRule>
  </conditionalFormatting>
  <conditionalFormatting sqref="F48:F49">
    <cfRule type="expression" dxfId="1051" priority="90" stopIfTrue="1">
      <formula>IF($S48&lt;1,TRUE,)</formula>
    </cfRule>
  </conditionalFormatting>
  <conditionalFormatting sqref="O48:O49">
    <cfRule type="expression" dxfId="1050" priority="89" stopIfTrue="1">
      <formula>IF($S48&lt;10,TRUE,)</formula>
    </cfRule>
  </conditionalFormatting>
  <conditionalFormatting sqref="N55:N56">
    <cfRule type="expression" dxfId="1049" priority="87" stopIfTrue="1">
      <formula>IF($S55&lt;9,TRUE,)</formula>
    </cfRule>
  </conditionalFormatting>
  <conditionalFormatting sqref="M55:M56">
    <cfRule type="expression" dxfId="1048" priority="86" stopIfTrue="1">
      <formula>IF($S55&lt;8,TRUE,)</formula>
    </cfRule>
  </conditionalFormatting>
  <conditionalFormatting sqref="L55:L56">
    <cfRule type="expression" dxfId="1047" priority="85" stopIfTrue="1">
      <formula>IF($S55&lt;7,TRUE,)</formula>
    </cfRule>
  </conditionalFormatting>
  <conditionalFormatting sqref="K55:K56">
    <cfRule type="expression" dxfId="1046" priority="84" stopIfTrue="1">
      <formula>IF($S55&lt;6,TRUE,)</formula>
    </cfRule>
  </conditionalFormatting>
  <conditionalFormatting sqref="J55:J56">
    <cfRule type="expression" dxfId="1045" priority="83" stopIfTrue="1">
      <formula>IF($S55&lt;5,TRUE,)</formula>
    </cfRule>
  </conditionalFormatting>
  <conditionalFormatting sqref="I55:I56">
    <cfRule type="expression" dxfId="1044" priority="82" stopIfTrue="1">
      <formula>IF($S55&lt;4,TRUE,)</formula>
    </cfRule>
  </conditionalFormatting>
  <conditionalFormatting sqref="H55:H56">
    <cfRule type="expression" dxfId="1043" priority="81" stopIfTrue="1">
      <formula>IF($S55&lt;3,TRUE,)</formula>
    </cfRule>
  </conditionalFormatting>
  <conditionalFormatting sqref="G55:G56">
    <cfRule type="expression" dxfId="1042" priority="80" stopIfTrue="1">
      <formula>IF($S55&lt;2,TRUE,)</formula>
    </cfRule>
  </conditionalFormatting>
  <conditionalFormatting sqref="F55:F56">
    <cfRule type="expression" dxfId="1041" priority="79" stopIfTrue="1">
      <formula>IF($S55&lt;1,TRUE,)</formula>
    </cfRule>
  </conditionalFormatting>
  <conditionalFormatting sqref="O55:O56">
    <cfRule type="expression" dxfId="1040" priority="78" stopIfTrue="1">
      <formula>IF($S55&lt;10,TRUE,)</formula>
    </cfRule>
  </conditionalFormatting>
  <conditionalFormatting sqref="N50:N51">
    <cfRule type="expression" dxfId="1039" priority="76" stopIfTrue="1">
      <formula>IF($S50&lt;9,TRUE,)</formula>
    </cfRule>
  </conditionalFormatting>
  <conditionalFormatting sqref="M50:M51">
    <cfRule type="expression" dxfId="1038" priority="75" stopIfTrue="1">
      <formula>IF($S50&lt;8,TRUE,)</formula>
    </cfRule>
  </conditionalFormatting>
  <conditionalFormatting sqref="L50:L51">
    <cfRule type="expression" dxfId="1037" priority="74" stopIfTrue="1">
      <formula>IF($S50&lt;7,TRUE,)</formula>
    </cfRule>
  </conditionalFormatting>
  <conditionalFormatting sqref="K50:K51">
    <cfRule type="expression" dxfId="1036" priority="73" stopIfTrue="1">
      <formula>IF($S50&lt;6,TRUE,)</formula>
    </cfRule>
  </conditionalFormatting>
  <conditionalFormatting sqref="J50:J51">
    <cfRule type="expression" dxfId="1035" priority="72" stopIfTrue="1">
      <formula>IF($S50&lt;5,TRUE,)</formula>
    </cfRule>
  </conditionalFormatting>
  <conditionalFormatting sqref="I50:I51">
    <cfRule type="expression" dxfId="1034" priority="71" stopIfTrue="1">
      <formula>IF($S50&lt;4,TRUE,)</formula>
    </cfRule>
  </conditionalFormatting>
  <conditionalFormatting sqref="H50:H51">
    <cfRule type="expression" dxfId="1033" priority="70" stopIfTrue="1">
      <formula>IF($S50&lt;3,TRUE,)</formula>
    </cfRule>
  </conditionalFormatting>
  <conditionalFormatting sqref="G50:G51">
    <cfRule type="expression" dxfId="1032" priority="69" stopIfTrue="1">
      <formula>IF($S50&lt;2,TRUE,)</formula>
    </cfRule>
  </conditionalFormatting>
  <conditionalFormatting sqref="F50:F51">
    <cfRule type="expression" dxfId="1031" priority="68" stopIfTrue="1">
      <formula>IF($S50&lt;1,TRUE,)</formula>
    </cfRule>
  </conditionalFormatting>
  <conditionalFormatting sqref="O50:O51">
    <cfRule type="expression" dxfId="1030" priority="67" stopIfTrue="1">
      <formula>IF($S50&lt;10,TRUE,)</formula>
    </cfRule>
  </conditionalFormatting>
  <conditionalFormatting sqref="N57:N58">
    <cfRule type="expression" dxfId="1029" priority="65" stopIfTrue="1">
      <formula>IF($S57&lt;9,TRUE,)</formula>
    </cfRule>
  </conditionalFormatting>
  <conditionalFormatting sqref="M57:M58">
    <cfRule type="expression" dxfId="1028" priority="64" stopIfTrue="1">
      <formula>IF($S57&lt;8,TRUE,)</formula>
    </cfRule>
  </conditionalFormatting>
  <conditionalFormatting sqref="L57:L58">
    <cfRule type="expression" dxfId="1027" priority="63" stopIfTrue="1">
      <formula>IF($S57&lt;7,TRUE,)</formula>
    </cfRule>
  </conditionalFormatting>
  <conditionalFormatting sqref="K57:K58">
    <cfRule type="expression" dxfId="1026" priority="62" stopIfTrue="1">
      <formula>IF($S57&lt;6,TRUE,)</formula>
    </cfRule>
  </conditionalFormatting>
  <conditionalFormatting sqref="J57:J58">
    <cfRule type="expression" dxfId="1025" priority="61" stopIfTrue="1">
      <formula>IF($S57&lt;5,TRUE,)</formula>
    </cfRule>
  </conditionalFormatting>
  <conditionalFormatting sqref="I57:I58">
    <cfRule type="expression" dxfId="1024" priority="60" stopIfTrue="1">
      <formula>IF($S57&lt;4,TRUE,)</formula>
    </cfRule>
  </conditionalFormatting>
  <conditionalFormatting sqref="H57:H58">
    <cfRule type="expression" dxfId="1023" priority="59" stopIfTrue="1">
      <formula>IF($S57&lt;3,TRUE,)</formula>
    </cfRule>
  </conditionalFormatting>
  <conditionalFormatting sqref="G57:G58">
    <cfRule type="expression" dxfId="1022" priority="58" stopIfTrue="1">
      <formula>IF($S57&lt;2,TRUE,)</formula>
    </cfRule>
  </conditionalFormatting>
  <conditionalFormatting sqref="F57:F58">
    <cfRule type="expression" dxfId="1021" priority="57" stopIfTrue="1">
      <formula>IF($S57&lt;1,TRUE,)</formula>
    </cfRule>
  </conditionalFormatting>
  <conditionalFormatting sqref="O57:O58">
    <cfRule type="expression" dxfId="1020" priority="56" stopIfTrue="1">
      <formula>IF($S57&lt;10,TRUE,)</formula>
    </cfRule>
  </conditionalFormatting>
  <conditionalFormatting sqref="N59">
    <cfRule type="expression" dxfId="1019" priority="54" stopIfTrue="1">
      <formula>IF($S59&lt;9,TRUE,)</formula>
    </cfRule>
  </conditionalFormatting>
  <conditionalFormatting sqref="M59">
    <cfRule type="expression" dxfId="1018" priority="53" stopIfTrue="1">
      <formula>IF($S59&lt;8,TRUE,)</formula>
    </cfRule>
  </conditionalFormatting>
  <conditionalFormatting sqref="L59">
    <cfRule type="expression" dxfId="1017" priority="52" stopIfTrue="1">
      <formula>IF($S59&lt;7,TRUE,)</formula>
    </cfRule>
  </conditionalFormatting>
  <conditionalFormatting sqref="K59">
    <cfRule type="expression" dxfId="1016" priority="51" stopIfTrue="1">
      <formula>IF($S59&lt;6,TRUE,)</formula>
    </cfRule>
  </conditionalFormatting>
  <conditionalFormatting sqref="J59">
    <cfRule type="expression" dxfId="1015" priority="50" stopIfTrue="1">
      <formula>IF($S59&lt;5,TRUE,)</formula>
    </cfRule>
  </conditionalFormatting>
  <conditionalFormatting sqref="I59">
    <cfRule type="expression" dxfId="1014" priority="49" stopIfTrue="1">
      <formula>IF($S59&lt;4,TRUE,)</formula>
    </cfRule>
  </conditionalFormatting>
  <conditionalFormatting sqref="H59">
    <cfRule type="expression" dxfId="1013" priority="48" stopIfTrue="1">
      <formula>IF($S59&lt;3,TRUE,)</formula>
    </cfRule>
  </conditionalFormatting>
  <conditionalFormatting sqref="G59">
    <cfRule type="expression" dxfId="1012" priority="47" stopIfTrue="1">
      <formula>IF($S59&lt;2,TRUE,)</formula>
    </cfRule>
  </conditionalFormatting>
  <conditionalFormatting sqref="F59">
    <cfRule type="expression" dxfId="1011" priority="46" stopIfTrue="1">
      <formula>IF($S59&lt;1,TRUE,)</formula>
    </cfRule>
  </conditionalFormatting>
  <conditionalFormatting sqref="O59">
    <cfRule type="expression" dxfId="1010" priority="45" stopIfTrue="1">
      <formula>IF($S59&lt;10,TRUE,)</formula>
    </cfRule>
  </conditionalFormatting>
  <conditionalFormatting sqref="N48:N49">
    <cfRule type="expression" dxfId="1009" priority="43" stopIfTrue="1">
      <formula>IF($S48&lt;9,TRUE,)</formula>
    </cfRule>
  </conditionalFormatting>
  <conditionalFormatting sqref="M48:M49">
    <cfRule type="expression" dxfId="1008" priority="42" stopIfTrue="1">
      <formula>IF($S48&lt;8,TRUE,)</formula>
    </cfRule>
  </conditionalFormatting>
  <conditionalFormatting sqref="L48:L49">
    <cfRule type="expression" dxfId="1007" priority="41" stopIfTrue="1">
      <formula>IF($S48&lt;7,TRUE,)</formula>
    </cfRule>
  </conditionalFormatting>
  <conditionalFormatting sqref="K48:K49">
    <cfRule type="expression" dxfId="1006" priority="40" stopIfTrue="1">
      <formula>IF($S48&lt;6,TRUE,)</formula>
    </cfRule>
  </conditionalFormatting>
  <conditionalFormatting sqref="J48:J49">
    <cfRule type="expression" dxfId="1005" priority="39" stopIfTrue="1">
      <formula>IF($S48&lt;5,TRUE,)</formula>
    </cfRule>
  </conditionalFormatting>
  <conditionalFormatting sqref="I48:I49">
    <cfRule type="expression" dxfId="1004" priority="38" stopIfTrue="1">
      <formula>IF($S48&lt;4,TRUE,)</formula>
    </cfRule>
  </conditionalFormatting>
  <conditionalFormatting sqref="H48:H49">
    <cfRule type="expression" dxfId="1003" priority="37" stopIfTrue="1">
      <formula>IF($S48&lt;3,TRUE,)</formula>
    </cfRule>
  </conditionalFormatting>
  <conditionalFormatting sqref="G48:G49">
    <cfRule type="expression" dxfId="1002" priority="36" stopIfTrue="1">
      <formula>IF($S48&lt;2,TRUE,)</formula>
    </cfRule>
  </conditionalFormatting>
  <conditionalFormatting sqref="F48:F49">
    <cfRule type="expression" dxfId="1001" priority="35" stopIfTrue="1">
      <formula>IF($S48&lt;1,TRUE,)</formula>
    </cfRule>
  </conditionalFormatting>
  <conditionalFormatting sqref="O48:O49">
    <cfRule type="expression" dxfId="1000" priority="34" stopIfTrue="1">
      <formula>IF($S48&lt;10,TRUE,)</formula>
    </cfRule>
  </conditionalFormatting>
  <conditionalFormatting sqref="N55:N56">
    <cfRule type="expression" dxfId="999" priority="32" stopIfTrue="1">
      <formula>IF($S55&lt;9,TRUE,)</formula>
    </cfRule>
  </conditionalFormatting>
  <conditionalFormatting sqref="M55:M56">
    <cfRule type="expression" dxfId="998" priority="31" stopIfTrue="1">
      <formula>IF($S55&lt;8,TRUE,)</formula>
    </cfRule>
  </conditionalFormatting>
  <conditionalFormatting sqref="L55:L56">
    <cfRule type="expression" dxfId="997" priority="30" stopIfTrue="1">
      <formula>IF($S55&lt;7,TRUE,)</formula>
    </cfRule>
  </conditionalFormatting>
  <conditionalFormatting sqref="K55:K56">
    <cfRule type="expression" dxfId="996" priority="29" stopIfTrue="1">
      <formula>IF($S55&lt;6,TRUE,)</formula>
    </cfRule>
  </conditionalFormatting>
  <conditionalFormatting sqref="J55:J56">
    <cfRule type="expression" dxfId="995" priority="28" stopIfTrue="1">
      <formula>IF($S55&lt;5,TRUE,)</formula>
    </cfRule>
  </conditionalFormatting>
  <conditionalFormatting sqref="I55:I56">
    <cfRule type="expression" dxfId="994" priority="27" stopIfTrue="1">
      <formula>IF($S55&lt;4,TRUE,)</formula>
    </cfRule>
  </conditionalFormatting>
  <conditionalFormatting sqref="H55:H56">
    <cfRule type="expression" dxfId="993" priority="26" stopIfTrue="1">
      <formula>IF($S55&lt;3,TRUE,)</formula>
    </cfRule>
  </conditionalFormatting>
  <conditionalFormatting sqref="G55:G56">
    <cfRule type="expression" dxfId="992" priority="25" stopIfTrue="1">
      <formula>IF($S55&lt;2,TRUE,)</formula>
    </cfRule>
  </conditionalFormatting>
  <conditionalFormatting sqref="F55:F56">
    <cfRule type="expression" dxfId="991" priority="24" stopIfTrue="1">
      <formula>IF($S55&lt;1,TRUE,)</formula>
    </cfRule>
  </conditionalFormatting>
  <conditionalFormatting sqref="O55:O56">
    <cfRule type="expression" dxfId="990" priority="23" stopIfTrue="1">
      <formula>IF($S55&lt;10,TRUE,)</formula>
    </cfRule>
  </conditionalFormatting>
  <conditionalFormatting sqref="N50:N51">
    <cfRule type="expression" dxfId="989" priority="21" stopIfTrue="1">
      <formula>IF($S50&lt;9,TRUE,)</formula>
    </cfRule>
  </conditionalFormatting>
  <conditionalFormatting sqref="M50:M51">
    <cfRule type="expression" dxfId="988" priority="20" stopIfTrue="1">
      <formula>IF($S50&lt;8,TRUE,)</formula>
    </cfRule>
  </conditionalFormatting>
  <conditionalFormatting sqref="L50:L51">
    <cfRule type="expression" dxfId="987" priority="19" stopIfTrue="1">
      <formula>IF($S50&lt;7,TRUE,)</formula>
    </cfRule>
  </conditionalFormatting>
  <conditionalFormatting sqref="K50:K51">
    <cfRule type="expression" dxfId="986" priority="18" stopIfTrue="1">
      <formula>IF($S50&lt;6,TRUE,)</formula>
    </cfRule>
  </conditionalFormatting>
  <conditionalFormatting sqref="J50:J51">
    <cfRule type="expression" dxfId="985" priority="17" stopIfTrue="1">
      <formula>IF($S50&lt;5,TRUE,)</formula>
    </cfRule>
  </conditionalFormatting>
  <conditionalFormatting sqref="I50:I51">
    <cfRule type="expression" dxfId="984" priority="16" stopIfTrue="1">
      <formula>IF($S50&lt;4,TRUE,)</formula>
    </cfRule>
  </conditionalFormatting>
  <conditionalFormatting sqref="H50:H51">
    <cfRule type="expression" dxfId="983" priority="15" stopIfTrue="1">
      <formula>IF($S50&lt;3,TRUE,)</formula>
    </cfRule>
  </conditionalFormatting>
  <conditionalFormatting sqref="G50:G51">
    <cfRule type="expression" dxfId="982" priority="14" stopIfTrue="1">
      <formula>IF($S50&lt;2,TRUE,)</formula>
    </cfRule>
  </conditionalFormatting>
  <conditionalFormatting sqref="F50:F51">
    <cfRule type="expression" dxfId="981" priority="13" stopIfTrue="1">
      <formula>IF($S50&lt;1,TRUE,)</formula>
    </cfRule>
  </conditionalFormatting>
  <conditionalFormatting sqref="O50:O51">
    <cfRule type="expression" dxfId="980" priority="12" stopIfTrue="1">
      <formula>IF($S50&lt;10,TRUE,)</formula>
    </cfRule>
  </conditionalFormatting>
  <conditionalFormatting sqref="N57:N58">
    <cfRule type="expression" dxfId="979" priority="10" stopIfTrue="1">
      <formula>IF($S57&lt;9,TRUE,)</formula>
    </cfRule>
  </conditionalFormatting>
  <conditionalFormatting sqref="M57:M58">
    <cfRule type="expression" dxfId="978" priority="9" stopIfTrue="1">
      <formula>IF($S57&lt;8,TRUE,)</formula>
    </cfRule>
  </conditionalFormatting>
  <conditionalFormatting sqref="L57:L58">
    <cfRule type="expression" dxfId="977" priority="8" stopIfTrue="1">
      <formula>IF($S57&lt;7,TRUE,)</formula>
    </cfRule>
  </conditionalFormatting>
  <conditionalFormatting sqref="K57:K58">
    <cfRule type="expression" dxfId="976" priority="7" stopIfTrue="1">
      <formula>IF($S57&lt;6,TRUE,)</formula>
    </cfRule>
  </conditionalFormatting>
  <conditionalFormatting sqref="J57:J58">
    <cfRule type="expression" dxfId="975" priority="6" stopIfTrue="1">
      <formula>IF($S57&lt;5,TRUE,)</formula>
    </cfRule>
  </conditionalFormatting>
  <conditionalFormatting sqref="I57:I58">
    <cfRule type="expression" dxfId="974" priority="5" stopIfTrue="1">
      <formula>IF($S57&lt;4,TRUE,)</formula>
    </cfRule>
  </conditionalFormatting>
  <conditionalFormatting sqref="H57:H58">
    <cfRule type="expression" dxfId="973" priority="4" stopIfTrue="1">
      <formula>IF($S57&lt;3,TRUE,)</formula>
    </cfRule>
  </conditionalFormatting>
  <conditionalFormatting sqref="G57:G58">
    <cfRule type="expression" dxfId="972" priority="3" stopIfTrue="1">
      <formula>IF($S57&lt;2,TRUE,)</formula>
    </cfRule>
  </conditionalFormatting>
  <conditionalFormatting sqref="F57:F58">
    <cfRule type="expression" dxfId="971" priority="2" stopIfTrue="1">
      <formula>IF($S57&lt;1,TRUE,)</formula>
    </cfRule>
  </conditionalFormatting>
  <conditionalFormatting sqref="O57:O58">
    <cfRule type="expression" dxfId="970" priority="1" stopIfTrue="1">
      <formula>IF($S57&lt;10,TRUE,)</formula>
    </cfRule>
  </conditionalFormatting>
  <dataValidations xWindow="947" yWindow="610" count="13">
    <dataValidation allowBlank="1" showInputMessage="1" showErrorMessage="1" promptTitle="ENTER NAME" prompt="Enter the name of the STAFF or FUNCTION involved with DEVELOPING the project._x000a_" sqref="D40:D42 D16:D19 D32:D35"/>
    <dataValidation type="list" allowBlank="1" showInputMessage="1" showErrorMessage="1" sqref="P60">
      <formula1>R.DDL_DEQStaffRank</formula1>
    </dataValidation>
    <dataValidation type="list" allowBlank="1" showInputMessage="1" showErrorMessage="1" promptTitle="DROP DOWN LIST" prompt="Select a range of hours from the drop down list that best describes how involved this resource will be in IMPLEMENTING this project." sqref="E39:E42 E23:E26 E55:E58">
      <formula1>R.DDL_DEQResourcesInvolved</formula1>
    </dataValidation>
    <dataValidation type="list" allowBlank="1" showInputMessage="1" showErrorMessage="1" promptTitle="DROP DOWN LIST" prompt="Select a range of hours from the drop down list that best describes how involved this resource will be in DEVELOPING this project." sqref="E32:E35 E16:E19 E48:E51">
      <formula1>R.DDL_DEQResourcesInvolved</formula1>
    </dataValidation>
    <dataValidation allowBlank="1" showInputMessage="1" showErrorMessage="1" promptTitle="ENTER NAME" prompt="Enter the name of the STAFF or FUNCTION involved with IMPLEMENTING the project._x000a_" sqref="D23:D26 D39"/>
    <dataValidation type="list" allowBlank="1" showInputMessage="1" showErrorMessage="1" promptTitle="DROP DOWN LIST" prompt="Select whether the named person is staff, a manager or an administrator. Leave this cell blank if you entered a FUNCTION name or left the name blank." sqref="P16:P19 P23:P26 P32:P35 P39:P42 P48:P51 P55:P58">
      <formula1>R.DDL_DEQStaffRank</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_x000a_" sqref="D61:P61"/>
    <dataValidation type="textLength" allowBlank="1" showInputMessage="1" showErrorMessage="1" promptTitle="DESCRIBE INVOLVEMENT" prompt="_x000a_Describe how this resource would be involved with the proposal during the development phase of the rule." sqref="D14:P14 D30:P30 D46:P46">
      <formula1>0</formula1>
      <formula2>5000</formula2>
    </dataValidation>
    <dataValidation type="textLength" allowBlank="1" showInputMessage="1" showErrorMessage="1" promptTitle="DESCRIBE INVOLVEMENT" prompt="_x000a_Describe how this resource would be involved with the proposal during the implementation phase of the rule._x000a_" sqref="D21:P21 D37:P37">
      <formula1>0</formula1>
      <formula2>5000</formula2>
    </dataValidation>
    <dataValidation type="textLength" allowBlank="1" showInputMessage="1" showErrorMessage="1" promptTitle="DESCRIBE INVOLVEMENT" prompt="_x000a_Describe how this resource would be involved with the proposal during the implementation phase of the rule." sqref="D53:P53">
      <formula1>0</formula1>
      <formula2>5000</formula2>
    </dataValidation>
    <dataValidation allowBlank="1" showInputMessage="1" showErrorMessage="1" promptTitle="ENTER NAME" prompt="Enter the name of the STAFF or FUNCTION involved with DEVELOPING the project." sqref="D48"/>
    <dataValidation allowBlank="1" showInputMessage="1" showErrorMessage="1" promptTitle="ENTER NAME" prompt="Enter the name of the STAFF or FUNCTION involved with IMPLEMENTING the project." sqref="D55"/>
    <dataValidation allowBlank="1" showErrorMessage="1" sqref="D8:P9"/>
  </dataValidations>
  <hyperlinks>
    <hyperlink ref="A1" location="R.0Header" display="⧀ Go to Content"/>
    <hyperlink ref="A2" r:id="rId1" display="⧀ on Q-net"/>
    <hyperlink ref="A12" r:id="rId2" display="⧀ on Q-net"/>
    <hyperlink ref="A44" r:id="rId3" display="⧀ on Q-net"/>
    <hyperlink ref="A62" location="R.13Header" display="Go to Top"/>
  </hyperlinks>
  <pageMargins left="0.25" right="0.25" top="0.75" bottom="0.75" header="0.3" footer="0.3"/>
  <pageSetup scale="98" orientation="portrait" horizontalDpi="4294967293" verticalDpi="4294967293" r:id="rId4"/>
  <rowBreaks count="1" manualBreakCount="1">
    <brk id="27" min="2" max="16" man="1"/>
  </rowBreaks>
  <drawing r:id="rId5"/>
  <legacyDrawing r:id="rId6"/>
</worksheet>
</file>

<file path=xl/worksheets/sheet18.xml><?xml version="1.0" encoding="utf-8"?>
<worksheet xmlns="http://schemas.openxmlformats.org/spreadsheetml/2006/main" xmlns:r="http://schemas.openxmlformats.org/officeDocument/2006/relationships">
  <sheetPr codeName="Sheet19"/>
  <dimension ref="A1:AG116"/>
  <sheetViews>
    <sheetView showGridLines="0" topLeftCell="A76" zoomScaleNormal="100" workbookViewId="0">
      <selection activeCell="D101" sqref="D101"/>
    </sheetView>
  </sheetViews>
  <sheetFormatPr defaultColWidth="9" defaultRowHeight="20.25" outlineLevelRow="1" outlineLevelCol="1"/>
  <cols>
    <col min="1" max="1" width="13.75" style="64" customWidth="1"/>
    <col min="2" max="2" width="3.625" style="64" customWidth="1"/>
    <col min="3" max="3" width="3.625" style="44" customWidth="1"/>
    <col min="4" max="4" width="40.5" style="161" customWidth="1"/>
    <col min="5" max="5" width="15.75" style="161" customWidth="1"/>
    <col min="6" max="15" width="1.625" style="161" customWidth="1"/>
    <col min="16" max="16" width="15.75" style="161" customWidth="1"/>
    <col min="17" max="17" width="3.625" style="161" customWidth="1"/>
    <col min="18" max="18" width="3.625" style="64" customWidth="1"/>
    <col min="19" max="19" width="9" style="113" hidden="1" customWidth="1" outlineLevel="1"/>
    <col min="20" max="20" width="14.875" style="64" hidden="1" customWidth="1" outlineLevel="1"/>
    <col min="21" max="21" width="14.625" style="64" hidden="1" customWidth="1" outlineLevel="1"/>
    <col min="22" max="22" width="5.125" style="64" customWidth="1" collapsed="1"/>
    <col min="23" max="23" width="30.625" style="64" customWidth="1"/>
    <col min="24" max="24" width="18" style="64" customWidth="1"/>
    <col min="25" max="33" width="31.125" style="64" customWidth="1"/>
    <col min="34" max="16384" width="9" style="161"/>
  </cols>
  <sheetData>
    <row r="1" spans="1:33" s="64" customFormat="1" ht="20.25" customHeight="1">
      <c r="A1" s="350" t="s">
        <v>104</v>
      </c>
      <c r="B1" s="334"/>
      <c r="C1" s="334"/>
      <c r="D1" s="334"/>
      <c r="E1" s="334"/>
      <c r="F1" s="334"/>
      <c r="G1" s="334"/>
      <c r="H1" s="334"/>
      <c r="I1" s="334"/>
      <c r="J1" s="334"/>
      <c r="K1" s="334"/>
      <c r="L1" s="334"/>
      <c r="M1" s="334"/>
      <c r="N1" s="334"/>
      <c r="O1" s="334"/>
      <c r="P1" s="334"/>
      <c r="Q1" s="334"/>
      <c r="R1" s="334"/>
      <c r="S1" s="113"/>
    </row>
    <row r="2" spans="1:33" s="6" customFormat="1" ht="30" customHeight="1" thickBot="1">
      <c r="A2" s="302"/>
      <c r="B2" s="334"/>
      <c r="C2" s="152">
        <v>14</v>
      </c>
      <c r="D2" s="153" t="s">
        <v>86</v>
      </c>
      <c r="E2" s="713" t="str">
        <f>R.1MediaAndLongName</f>
        <v>CP Division 12 Updates</v>
      </c>
      <c r="F2" s="713"/>
      <c r="G2" s="713"/>
      <c r="H2" s="713"/>
      <c r="I2" s="713"/>
      <c r="J2" s="713"/>
      <c r="K2" s="713"/>
      <c r="L2" s="713"/>
      <c r="M2" s="713"/>
      <c r="N2" s="713"/>
      <c r="O2" s="713"/>
      <c r="P2" s="713"/>
      <c r="Q2" s="154"/>
      <c r="R2" s="334"/>
      <c r="S2" s="119" t="str">
        <f>"R."&amp;$C$2&amp;"StaffCount"</f>
        <v>R.14StaffCount</v>
      </c>
      <c r="T2" s="119" t="str">
        <f>"R."&amp;$C$2&amp;"LowHrs"</f>
        <v>R.14LowHrs</v>
      </c>
      <c r="U2" s="349" t="str">
        <f>"R."&amp;$C$2&amp;"HighHrs"</f>
        <v>R.14HighHrs</v>
      </c>
      <c r="W2" s="120" t="s">
        <v>0</v>
      </c>
      <c r="X2" s="64"/>
      <c r="Y2" s="64"/>
      <c r="Z2" s="64"/>
      <c r="AA2" s="64"/>
      <c r="AB2" s="64"/>
      <c r="AC2" s="64"/>
      <c r="AD2" s="66"/>
      <c r="AE2" s="66"/>
      <c r="AF2" s="66"/>
      <c r="AG2" s="66"/>
    </row>
    <row r="3" spans="1:33" s="6" customFormat="1" ht="20.25" customHeight="1" thickTop="1">
      <c r="A3" s="114"/>
      <c r="B3" s="334"/>
      <c r="C3" s="155"/>
      <c r="D3" s="96"/>
      <c r="E3" s="96"/>
      <c r="F3" s="13"/>
      <c r="G3" s="164"/>
      <c r="H3" s="164"/>
      <c r="I3" s="164"/>
      <c r="J3" s="97"/>
      <c r="K3" s="13"/>
      <c r="L3" s="13"/>
      <c r="M3" s="699" t="s">
        <v>57</v>
      </c>
      <c r="N3" s="699"/>
      <c r="O3" s="699"/>
      <c r="P3" s="699"/>
      <c r="Q3" s="156"/>
      <c r="R3" s="334"/>
      <c r="S3" s="121">
        <f>COUNTIFS(S15:S105,"&gt;0")</f>
        <v>0</v>
      </c>
      <c r="T3" s="124">
        <f>SUM(T15:T105)</f>
        <v>0</v>
      </c>
      <c r="U3" s="124">
        <f>SUM(U15:U105)</f>
        <v>0</v>
      </c>
      <c r="V3" s="120"/>
      <c r="W3" s="64"/>
      <c r="X3" s="64"/>
      <c r="Y3" s="64"/>
      <c r="Z3" s="64"/>
      <c r="AA3" s="64"/>
      <c r="AB3" s="64"/>
      <c r="AC3" s="64"/>
      <c r="AD3" s="66"/>
      <c r="AE3" s="66"/>
      <c r="AF3" s="66"/>
      <c r="AG3" s="66"/>
    </row>
    <row r="4" spans="1:33" s="6" customFormat="1" ht="20.25" customHeight="1">
      <c r="A4" s="114"/>
      <c r="B4" s="334"/>
      <c r="C4" s="155"/>
      <c r="D4" s="494" t="s">
        <v>55</v>
      </c>
      <c r="E4" s="81">
        <f>S3</f>
        <v>0</v>
      </c>
      <c r="F4" s="700" t="s">
        <v>54</v>
      </c>
      <c r="G4" s="700"/>
      <c r="H4" s="700"/>
      <c r="I4" s="700"/>
      <c r="J4" s="700"/>
      <c r="K4" s="700"/>
      <c r="L4" s="700"/>
      <c r="M4" s="701" t="str">
        <f>S4</f>
        <v>0</v>
      </c>
      <c r="N4" s="701"/>
      <c r="O4" s="701"/>
      <c r="P4" s="701"/>
      <c r="Q4" s="156"/>
      <c r="R4" s="334"/>
      <c r="S4" s="122" t="str">
        <f>IF(R.14StaffCount=0,"0",IF(R.14LowHrs=0,"0-"&amp;TEXT(R.14HighHrs,"#,###"),TEXT(R.14LowHrs,"#,###")&amp;"-"&amp;TEXT(R.14HighHrs,"#,###")))</f>
        <v>0</v>
      </c>
      <c r="T4" s="119" t="str">
        <f>"R."&amp;$C$2&amp;"LowDollars"</f>
        <v>R.14LowDollars</v>
      </c>
      <c r="U4" s="349" t="str">
        <f>"R."&amp;$C$2&amp;"HighDollars"</f>
        <v>R.14HighDollars</v>
      </c>
      <c r="V4" s="120"/>
      <c r="W4" s="64"/>
      <c r="X4" s="64"/>
      <c r="Y4" s="64"/>
      <c r="Z4" s="64"/>
      <c r="AA4" s="64"/>
      <c r="AB4" s="64"/>
      <c r="AC4" s="64"/>
      <c r="AD4" s="66"/>
      <c r="AE4" s="66"/>
      <c r="AF4" s="66"/>
      <c r="AG4" s="66"/>
    </row>
    <row r="5" spans="1:33" s="6" customFormat="1" ht="20.25" customHeight="1">
      <c r="A5" s="114"/>
      <c r="B5" s="334"/>
      <c r="C5" s="155"/>
      <c r="D5" s="494" t="s">
        <v>67</v>
      </c>
      <c r="E5" s="98">
        <f>R.AvgHrDEQCost</f>
        <v>58</v>
      </c>
      <c r="F5" s="700" t="s">
        <v>58</v>
      </c>
      <c r="G5" s="700"/>
      <c r="H5" s="700"/>
      <c r="I5" s="700"/>
      <c r="J5" s="700"/>
      <c r="K5" s="700"/>
      <c r="L5" s="700"/>
      <c r="M5" s="702" t="str">
        <f>S5</f>
        <v>$0</v>
      </c>
      <c r="N5" s="702"/>
      <c r="O5" s="702"/>
      <c r="P5" s="702"/>
      <c r="Q5" s="156"/>
      <c r="R5" s="334"/>
      <c r="S5" s="122" t="str">
        <f>IF(R.14StaffCount=0,"$0",IF(R.14LowDollars=0,"$0-"&amp;TEXT(R.14HighDollars,"#,###"),TEXT(R.14LowDollars,"$#,###")&amp;"-"&amp;TEXT(R.14HighDollars,"#,###")))</f>
        <v>$0</v>
      </c>
      <c r="T5" s="124">
        <f>T3*E5</f>
        <v>0</v>
      </c>
      <c r="U5" s="124">
        <f>U3*E5</f>
        <v>0</v>
      </c>
      <c r="V5" s="120"/>
      <c r="W5" s="64"/>
      <c r="X5" s="64"/>
      <c r="Y5" s="64"/>
      <c r="Z5" s="64"/>
      <c r="AA5" s="64"/>
      <c r="AB5" s="64"/>
      <c r="AC5" s="64"/>
      <c r="AD5" s="66"/>
      <c r="AE5" s="66"/>
      <c r="AF5" s="66"/>
      <c r="AG5" s="66"/>
    </row>
    <row r="6" spans="1:33" s="6" customFormat="1" ht="24.75" customHeight="1">
      <c r="A6" s="114"/>
      <c r="B6" s="334"/>
      <c r="C6" s="155"/>
      <c r="D6" s="443" t="s">
        <v>29</v>
      </c>
      <c r="E6" s="100"/>
      <c r="F6" s="99"/>
      <c r="G6" s="99"/>
      <c r="H6" s="99"/>
      <c r="I6" s="99"/>
      <c r="J6" s="99"/>
      <c r="K6" s="99"/>
      <c r="L6" s="99"/>
      <c r="M6" s="99"/>
      <c r="N6" s="99"/>
      <c r="O6" s="99"/>
      <c r="P6" s="99"/>
      <c r="Q6" s="156"/>
      <c r="R6" s="334"/>
      <c r="S6" s="66"/>
      <c r="T6" s="66"/>
      <c r="U6" s="66"/>
      <c r="V6" s="120"/>
      <c r="W6" s="64"/>
      <c r="X6" s="64"/>
      <c r="Y6" s="64"/>
      <c r="Z6" s="64"/>
      <c r="AA6" s="64"/>
      <c r="AB6" s="64"/>
      <c r="AC6" s="64"/>
      <c r="AD6" s="66"/>
      <c r="AE6" s="66"/>
      <c r="AF6" s="66"/>
      <c r="AG6" s="66"/>
    </row>
    <row r="7" spans="1:33" s="6" customFormat="1" ht="25.5" customHeight="1">
      <c r="A7" s="316"/>
      <c r="B7" s="334"/>
      <c r="C7" s="155"/>
      <c r="D7" s="730" t="s">
        <v>592</v>
      </c>
      <c r="E7" s="731"/>
      <c r="F7" s="731"/>
      <c r="G7" s="731"/>
      <c r="H7" s="731"/>
      <c r="I7" s="731"/>
      <c r="J7" s="731"/>
      <c r="K7" s="731"/>
      <c r="L7" s="731"/>
      <c r="M7" s="731"/>
      <c r="N7" s="731"/>
      <c r="O7" s="731"/>
      <c r="P7" s="732"/>
      <c r="Q7" s="156"/>
      <c r="R7" s="334"/>
      <c r="S7" s="496" t="e">
        <f>AVERAGEIF(S14:S56,"&gt;0")</f>
        <v>#DIV/0!</v>
      </c>
      <c r="T7" s="493"/>
      <c r="U7" s="493"/>
      <c r="V7" s="120"/>
      <c r="W7" s="436"/>
      <c r="X7" s="436"/>
      <c r="Y7" s="436"/>
      <c r="Z7" s="436"/>
      <c r="AA7" s="436"/>
      <c r="AB7" s="436"/>
      <c r="AC7" s="436"/>
      <c r="AD7" s="66"/>
      <c r="AE7" s="66"/>
      <c r="AF7" s="66"/>
    </row>
    <row r="8" spans="1:33" s="6" customFormat="1" ht="20.25" customHeight="1">
      <c r="A8" s="316"/>
      <c r="B8" s="334"/>
      <c r="C8" s="155"/>
      <c r="D8" s="748" t="s">
        <v>501</v>
      </c>
      <c r="E8" s="748"/>
      <c r="F8" s="748"/>
      <c r="G8" s="748"/>
      <c r="H8" s="748"/>
      <c r="I8" s="748"/>
      <c r="J8" s="748"/>
      <c r="K8" s="748"/>
      <c r="L8" s="748"/>
      <c r="M8" s="748"/>
      <c r="N8" s="748"/>
      <c r="O8" s="748"/>
      <c r="P8" s="748"/>
      <c r="Q8" s="156"/>
      <c r="R8" s="334"/>
      <c r="T8" s="493"/>
      <c r="U8" s="493"/>
      <c r="V8" s="120"/>
      <c r="W8" s="436"/>
      <c r="X8" s="436"/>
      <c r="Y8" s="436"/>
      <c r="Z8" s="436"/>
      <c r="AA8" s="436"/>
      <c r="AB8" s="436"/>
      <c r="AC8" s="436"/>
      <c r="AD8" s="66"/>
      <c r="AE8" s="66"/>
      <c r="AF8" s="66"/>
    </row>
    <row r="9" spans="1:33" s="28" customFormat="1" ht="15.75" customHeight="1">
      <c r="A9" s="345"/>
      <c r="B9" s="440"/>
      <c r="C9" s="138"/>
      <c r="D9" s="745" t="s">
        <v>0</v>
      </c>
      <c r="E9" s="746"/>
      <c r="F9" s="746"/>
      <c r="G9" s="746"/>
      <c r="H9" s="746"/>
      <c r="I9" s="746"/>
      <c r="J9" s="746"/>
      <c r="K9" s="746"/>
      <c r="L9" s="746"/>
      <c r="M9" s="746"/>
      <c r="N9" s="746"/>
      <c r="O9" s="746"/>
      <c r="P9" s="747"/>
      <c r="Q9" s="139"/>
      <c r="R9" s="440"/>
      <c r="S9" s="463"/>
      <c r="T9" s="463"/>
      <c r="U9" s="441"/>
      <c r="V9" s="438"/>
      <c r="W9" s="438"/>
      <c r="X9" s="438"/>
      <c r="Y9" s="438"/>
      <c r="Z9" s="438"/>
      <c r="AA9" s="438"/>
      <c r="AB9" s="438"/>
      <c r="AC9" s="438"/>
      <c r="AD9" s="130"/>
      <c r="AE9" s="130"/>
      <c r="AF9" s="130"/>
      <c r="AG9" s="130"/>
    </row>
    <row r="10" spans="1:33" s="69" customFormat="1" ht="14.25" customHeight="1">
      <c r="A10" s="115"/>
      <c r="B10" s="334"/>
      <c r="C10" s="404"/>
      <c r="D10" s="405"/>
      <c r="E10" s="405"/>
      <c r="F10" s="405"/>
      <c r="G10" s="405"/>
      <c r="H10" s="405"/>
      <c r="I10" s="405"/>
      <c r="J10" s="405"/>
      <c r="K10" s="405"/>
      <c r="L10" s="405"/>
      <c r="M10" s="405"/>
      <c r="N10" s="405"/>
      <c r="O10" s="405"/>
      <c r="P10" s="405"/>
      <c r="Q10" s="406"/>
      <c r="R10" s="334"/>
      <c r="S10" s="125"/>
      <c r="T10" s="125"/>
      <c r="U10" s="125"/>
      <c r="V10" s="126"/>
      <c r="W10" s="126"/>
      <c r="X10" s="126"/>
      <c r="Y10" s="126"/>
      <c r="Z10" s="126"/>
      <c r="AA10" s="126"/>
      <c r="AB10" s="126"/>
      <c r="AC10" s="126"/>
      <c r="AD10" s="125"/>
      <c r="AE10" s="125"/>
      <c r="AF10" s="125"/>
      <c r="AG10" s="125"/>
    </row>
    <row r="11" spans="1:33" s="219" customFormat="1" ht="30" customHeight="1">
      <c r="A11" s="350" t="s">
        <v>113</v>
      </c>
      <c r="B11" s="334"/>
      <c r="C11" s="485" t="s">
        <v>0</v>
      </c>
      <c r="D11" s="304" t="s">
        <v>130</v>
      </c>
      <c r="E11" s="247"/>
      <c r="F11" s="247"/>
      <c r="G11" s="247"/>
      <c r="H11" s="247"/>
      <c r="I11" s="247"/>
      <c r="J11" s="247"/>
      <c r="K11" s="247"/>
      <c r="L11" s="247"/>
      <c r="M11" s="247"/>
      <c r="N11" s="247"/>
      <c r="O11" s="247"/>
      <c r="P11" s="247"/>
      <c r="Q11" s="244"/>
      <c r="R11" s="334"/>
      <c r="S11" s="227"/>
      <c r="T11" s="216"/>
      <c r="U11" s="216"/>
      <c r="V11" s="218"/>
      <c r="W11" s="218"/>
      <c r="X11" s="218"/>
      <c r="Y11" s="218"/>
      <c r="Z11" s="218"/>
      <c r="AA11" s="218"/>
      <c r="AB11" s="218"/>
      <c r="AC11" s="218"/>
      <c r="AD11" s="216"/>
      <c r="AE11" s="216"/>
      <c r="AF11" s="216"/>
      <c r="AG11" s="216"/>
    </row>
    <row r="12" spans="1:33" s="33" customFormat="1" ht="14.25" customHeight="1">
      <c r="A12" s="116"/>
      <c r="B12" s="334"/>
      <c r="C12" s="232"/>
      <c r="D12" s="443" t="s">
        <v>53</v>
      </c>
      <c r="E12" s="94"/>
      <c r="F12" s="94"/>
      <c r="G12" s="94"/>
      <c r="H12" s="94"/>
      <c r="I12" s="94"/>
      <c r="J12" s="94"/>
      <c r="K12" s="94"/>
      <c r="L12" s="94"/>
      <c r="M12" s="94"/>
      <c r="N12" s="94"/>
      <c r="O12" s="94"/>
      <c r="P12" s="94"/>
      <c r="Q12" s="137"/>
      <c r="R12" s="334"/>
      <c r="S12" s="242"/>
      <c r="T12" s="127"/>
      <c r="U12" s="127"/>
      <c r="V12" s="230"/>
      <c r="W12" s="230"/>
      <c r="X12" s="230"/>
      <c r="Y12" s="230"/>
      <c r="Z12" s="230"/>
      <c r="AA12" s="230"/>
      <c r="AB12" s="230"/>
      <c r="AC12" s="230"/>
      <c r="AD12" s="127"/>
      <c r="AE12" s="127"/>
      <c r="AF12" s="127"/>
      <c r="AG12" s="127"/>
    </row>
    <row r="13" spans="1:33" s="28" customFormat="1" ht="15.75" customHeight="1">
      <c r="A13" s="117"/>
      <c r="B13" s="334"/>
      <c r="C13" s="138"/>
      <c r="D13" s="719" t="s">
        <v>0</v>
      </c>
      <c r="E13" s="720"/>
      <c r="F13" s="720"/>
      <c r="G13" s="720"/>
      <c r="H13" s="720"/>
      <c r="I13" s="720"/>
      <c r="J13" s="720"/>
      <c r="K13" s="720"/>
      <c r="L13" s="720"/>
      <c r="M13" s="720"/>
      <c r="N13" s="720"/>
      <c r="O13" s="720"/>
      <c r="P13" s="721"/>
      <c r="Q13" s="139"/>
      <c r="R13" s="334"/>
      <c r="S13" s="131"/>
      <c r="T13" s="130"/>
      <c r="U13" s="130"/>
      <c r="V13" s="64"/>
      <c r="W13" s="64"/>
      <c r="Y13" s="64"/>
      <c r="Z13" s="64"/>
      <c r="AA13" s="64"/>
      <c r="AB13" s="64"/>
      <c r="AC13" s="64"/>
      <c r="AD13" s="130"/>
      <c r="AE13" s="130"/>
      <c r="AF13" s="130"/>
      <c r="AG13" s="130"/>
    </row>
    <row r="14" spans="1:33" s="33" customFormat="1" ht="14.25" customHeight="1">
      <c r="A14" s="116"/>
      <c r="B14" s="334"/>
      <c r="C14" s="233"/>
      <c r="D14" s="497" t="s">
        <v>60</v>
      </c>
      <c r="E14" s="393" t="s">
        <v>18</v>
      </c>
      <c r="F14" s="733" t="s">
        <v>19</v>
      </c>
      <c r="G14" s="733"/>
      <c r="H14" s="733"/>
      <c r="I14" s="733"/>
      <c r="J14" s="733"/>
      <c r="K14" s="733"/>
      <c r="L14" s="733"/>
      <c r="M14" s="733"/>
      <c r="N14" s="733"/>
      <c r="O14" s="733"/>
      <c r="P14" s="393" t="s">
        <v>20</v>
      </c>
      <c r="Q14" s="137"/>
      <c r="R14" s="334"/>
      <c r="S14" s="228"/>
      <c r="T14" s="229"/>
      <c r="U14" s="229"/>
      <c r="V14" s="230"/>
      <c r="W14" s="230"/>
      <c r="Y14" s="230"/>
      <c r="Z14" s="230"/>
      <c r="AA14" s="230"/>
      <c r="AB14" s="230"/>
      <c r="AC14" s="230"/>
      <c r="AD14" s="127"/>
      <c r="AE14" s="127"/>
      <c r="AF14" s="127"/>
      <c r="AG14" s="127"/>
    </row>
    <row r="15" spans="1:33" s="28" customFormat="1" ht="15.75" customHeight="1">
      <c r="A15" s="117"/>
      <c r="B15" s="334"/>
      <c r="C15" s="138"/>
      <c r="D15" s="36"/>
      <c r="E15" s="30" t="s">
        <v>229</v>
      </c>
      <c r="F15" s="71">
        <v>1</v>
      </c>
      <c r="G15" s="72">
        <v>2</v>
      </c>
      <c r="H15" s="73">
        <v>3</v>
      </c>
      <c r="I15" s="74">
        <v>4</v>
      </c>
      <c r="J15" s="75">
        <v>5</v>
      </c>
      <c r="K15" s="76">
        <v>6</v>
      </c>
      <c r="L15" s="77">
        <v>7</v>
      </c>
      <c r="M15" s="78">
        <v>8</v>
      </c>
      <c r="N15" s="79">
        <v>9</v>
      </c>
      <c r="O15" s="80">
        <v>10</v>
      </c>
      <c r="P15" s="32" t="s">
        <v>0</v>
      </c>
      <c r="Q15" s="139"/>
      <c r="R15" s="334"/>
      <c r="S15" s="133">
        <f>VLOOKUP($E15,R.VL_DEQResourcesInvolved,2,FALSE)</f>
        <v>0</v>
      </c>
      <c r="T15" s="121">
        <f>VLOOKUP($E15,R.VL_DEQResourcesInvolved,3,FALSE)</f>
        <v>0</v>
      </c>
      <c r="U15" s="121">
        <f>IF(S15=10,T15,VLOOKUP($E15,R.VL_DEQResourcesInvolved,4,FALSE))</f>
        <v>0</v>
      </c>
      <c r="V15" s="575" t="s">
        <v>554</v>
      </c>
      <c r="W15" s="64"/>
      <c r="Y15" s="64"/>
      <c r="Z15" s="64"/>
      <c r="AA15" s="64"/>
      <c r="AB15" s="64"/>
      <c r="AC15" s="64"/>
      <c r="AD15" s="130"/>
      <c r="AE15" s="130"/>
      <c r="AF15" s="130"/>
      <c r="AG15" s="130"/>
    </row>
    <row r="16" spans="1:33" s="28" customFormat="1" ht="15.75" hidden="1" customHeight="1" outlineLevel="1">
      <c r="A16" s="117"/>
      <c r="B16" s="334"/>
      <c r="C16" s="138"/>
      <c r="D16" s="36" t="s">
        <v>0</v>
      </c>
      <c r="E16" s="30" t="s">
        <v>229</v>
      </c>
      <c r="F16" s="71">
        <v>1</v>
      </c>
      <c r="G16" s="72">
        <v>2</v>
      </c>
      <c r="H16" s="73">
        <v>3</v>
      </c>
      <c r="I16" s="74">
        <v>4</v>
      </c>
      <c r="J16" s="75">
        <v>5</v>
      </c>
      <c r="K16" s="76">
        <v>6</v>
      </c>
      <c r="L16" s="77">
        <v>7</v>
      </c>
      <c r="M16" s="78">
        <v>8</v>
      </c>
      <c r="N16" s="79">
        <v>9</v>
      </c>
      <c r="O16" s="80">
        <v>10</v>
      </c>
      <c r="P16" s="32" t="s">
        <v>0</v>
      </c>
      <c r="Q16" s="139"/>
      <c r="R16" s="334"/>
      <c r="S16" s="133">
        <f>VLOOKUP($E16,R.VL_DEQResourcesInvolved,2,FALSE)</f>
        <v>0</v>
      </c>
      <c r="T16" s="121">
        <f>VLOOKUP($E16,R.VL_DEQResourcesInvolved,3,FALSE)</f>
        <v>0</v>
      </c>
      <c r="U16" s="121">
        <f>IF(S16=10,T16,VLOOKUP($E16,R.VL_DEQResourcesInvolved,4,FALSE))</f>
        <v>0</v>
      </c>
      <c r="V16" s="64"/>
      <c r="W16" s="64"/>
      <c r="Y16" s="64"/>
      <c r="Z16" s="64"/>
      <c r="AA16" s="64"/>
      <c r="AB16" s="64"/>
      <c r="AC16" s="64"/>
      <c r="AD16" s="130"/>
      <c r="AE16" s="130"/>
      <c r="AF16" s="130"/>
      <c r="AG16" s="130"/>
    </row>
    <row r="17" spans="1:33" s="28" customFormat="1" ht="15.75" hidden="1" customHeight="1" outlineLevel="1">
      <c r="A17" s="117"/>
      <c r="B17" s="334"/>
      <c r="C17" s="138"/>
      <c r="D17" s="36" t="s">
        <v>0</v>
      </c>
      <c r="E17" s="30" t="s">
        <v>229</v>
      </c>
      <c r="F17" s="71">
        <v>1</v>
      </c>
      <c r="G17" s="72">
        <v>2</v>
      </c>
      <c r="H17" s="73">
        <v>3</v>
      </c>
      <c r="I17" s="74">
        <v>4</v>
      </c>
      <c r="J17" s="75">
        <v>5</v>
      </c>
      <c r="K17" s="76">
        <v>6</v>
      </c>
      <c r="L17" s="77">
        <v>7</v>
      </c>
      <c r="M17" s="78">
        <v>8</v>
      </c>
      <c r="N17" s="79">
        <v>9</v>
      </c>
      <c r="O17" s="80">
        <v>10</v>
      </c>
      <c r="P17" s="32" t="s">
        <v>0</v>
      </c>
      <c r="Q17" s="139"/>
      <c r="R17" s="334"/>
      <c r="S17" s="133">
        <f>VLOOKUP($E17,R.VL_DEQResourcesInvolved,2,FALSE)</f>
        <v>0</v>
      </c>
      <c r="T17" s="121">
        <f>VLOOKUP($E17,R.VL_DEQResourcesInvolved,3,FALSE)</f>
        <v>0</v>
      </c>
      <c r="U17" s="121">
        <f>IF(S17=10,T17,VLOOKUP($E17,R.VL_DEQResourcesInvolved,4,FALSE))</f>
        <v>0</v>
      </c>
      <c r="V17" s="64"/>
      <c r="W17" s="64"/>
      <c r="Y17" s="64"/>
      <c r="Z17" s="64"/>
      <c r="AA17" s="64"/>
      <c r="AB17" s="64"/>
      <c r="AC17" s="64"/>
      <c r="AD17" s="130"/>
      <c r="AE17" s="130"/>
      <c r="AF17" s="130"/>
      <c r="AG17" s="130"/>
    </row>
    <row r="18" spans="1:33" s="28" customFormat="1" ht="15.75" hidden="1" customHeight="1" outlineLevel="1">
      <c r="A18" s="117"/>
      <c r="B18" s="334"/>
      <c r="C18" s="138"/>
      <c r="D18" s="36" t="s">
        <v>0</v>
      </c>
      <c r="E18" s="30" t="s">
        <v>229</v>
      </c>
      <c r="F18" s="71">
        <v>1</v>
      </c>
      <c r="G18" s="72">
        <v>2</v>
      </c>
      <c r="H18" s="73">
        <v>3</v>
      </c>
      <c r="I18" s="74">
        <v>4</v>
      </c>
      <c r="J18" s="75">
        <v>5</v>
      </c>
      <c r="K18" s="76">
        <v>6</v>
      </c>
      <c r="L18" s="77">
        <v>7</v>
      </c>
      <c r="M18" s="78">
        <v>8</v>
      </c>
      <c r="N18" s="79">
        <v>9</v>
      </c>
      <c r="O18" s="80">
        <v>10</v>
      </c>
      <c r="P18" s="32" t="s">
        <v>0</v>
      </c>
      <c r="Q18" s="139"/>
      <c r="R18" s="334"/>
      <c r="S18" s="133">
        <f>VLOOKUP($E18,R.VL_DEQResourcesInvolved,2,FALSE)</f>
        <v>0</v>
      </c>
      <c r="T18" s="121">
        <f>VLOOKUP($E18,R.VL_DEQResourcesInvolved,3,FALSE)</f>
        <v>0</v>
      </c>
      <c r="U18" s="121">
        <f>IF(S18=10,T18,VLOOKUP($E18,R.VL_DEQResourcesInvolved,4,FALSE))</f>
        <v>0</v>
      </c>
      <c r="V18" s="64"/>
      <c r="W18" s="64"/>
      <c r="X18" s="64"/>
      <c r="Y18" s="64"/>
      <c r="Z18" s="64"/>
      <c r="AA18" s="64"/>
      <c r="AB18" s="64"/>
      <c r="AC18" s="64"/>
      <c r="AD18" s="130"/>
      <c r="AE18" s="130"/>
      <c r="AF18" s="130"/>
      <c r="AG18" s="130"/>
    </row>
    <row r="19" spans="1:33" s="28" customFormat="1" ht="15.75" customHeight="1" collapsed="1">
      <c r="A19" s="117"/>
      <c r="B19" s="334"/>
      <c r="C19" s="245"/>
      <c r="D19" s="442" t="s">
        <v>52</v>
      </c>
      <c r="E19" s="31"/>
      <c r="F19" s="31"/>
      <c r="G19" s="31"/>
      <c r="H19" s="31"/>
      <c r="I19" s="31"/>
      <c r="J19" s="31"/>
      <c r="K19" s="31"/>
      <c r="L19" s="31"/>
      <c r="M19" s="31"/>
      <c r="N19" s="31"/>
      <c r="O19" s="31"/>
      <c r="P19" s="31"/>
      <c r="Q19" s="143"/>
      <c r="R19" s="334"/>
      <c r="S19" s="228"/>
      <c r="T19" s="229"/>
      <c r="U19" s="229"/>
      <c r="V19" s="236"/>
      <c r="W19" s="236"/>
      <c r="X19" s="236"/>
      <c r="Y19" s="236"/>
      <c r="Z19" s="236"/>
      <c r="AA19" s="236"/>
      <c r="AB19" s="236"/>
      <c r="AC19" s="236"/>
      <c r="AD19" s="130"/>
      <c r="AE19" s="130"/>
      <c r="AF19" s="130"/>
      <c r="AG19" s="130"/>
    </row>
    <row r="20" spans="1:33" s="28" customFormat="1" ht="15.75" customHeight="1">
      <c r="A20" s="117"/>
      <c r="B20" s="334"/>
      <c r="C20" s="138"/>
      <c r="D20" s="734"/>
      <c r="E20" s="735"/>
      <c r="F20" s="735"/>
      <c r="G20" s="735"/>
      <c r="H20" s="735"/>
      <c r="I20" s="735"/>
      <c r="J20" s="735"/>
      <c r="K20" s="735"/>
      <c r="L20" s="735"/>
      <c r="M20" s="735"/>
      <c r="N20" s="735"/>
      <c r="O20" s="735"/>
      <c r="P20" s="736"/>
      <c r="Q20" s="139"/>
      <c r="R20" s="334"/>
      <c r="S20" s="132" t="s">
        <v>0</v>
      </c>
      <c r="T20" s="131"/>
      <c r="U20" s="131"/>
      <c r="V20" s="64"/>
      <c r="W20" s="64"/>
      <c r="X20" s="64"/>
      <c r="Y20" s="64"/>
      <c r="Z20" s="64"/>
      <c r="AA20" s="64"/>
      <c r="AB20" s="64"/>
      <c r="AC20" s="64"/>
      <c r="AD20" s="130"/>
      <c r="AE20" s="130"/>
      <c r="AF20" s="130"/>
      <c r="AG20" s="130"/>
    </row>
    <row r="21" spans="1:33" s="33" customFormat="1" ht="15.75" customHeight="1">
      <c r="A21" s="116"/>
      <c r="B21" s="334"/>
      <c r="C21" s="232"/>
      <c r="D21" s="442" t="s">
        <v>60</v>
      </c>
      <c r="E21" s="292" t="s">
        <v>18</v>
      </c>
      <c r="F21" s="749" t="s">
        <v>19</v>
      </c>
      <c r="G21" s="749"/>
      <c r="H21" s="749"/>
      <c r="I21" s="749"/>
      <c r="J21" s="749"/>
      <c r="K21" s="749"/>
      <c r="L21" s="749"/>
      <c r="M21" s="749"/>
      <c r="N21" s="749"/>
      <c r="O21" s="749"/>
      <c r="P21" s="292" t="s">
        <v>20</v>
      </c>
      <c r="Q21" s="137"/>
      <c r="R21" s="334"/>
      <c r="S21" s="228"/>
      <c r="T21" s="229"/>
      <c r="U21" s="229"/>
      <c r="V21" s="230"/>
      <c r="W21" s="230"/>
      <c r="X21" s="230"/>
      <c r="Y21" s="230"/>
      <c r="Z21" s="230"/>
      <c r="AA21" s="230"/>
      <c r="AB21" s="230"/>
      <c r="AC21" s="230"/>
      <c r="AD21" s="127"/>
      <c r="AE21" s="127"/>
      <c r="AF21" s="127"/>
      <c r="AG21" s="127"/>
    </row>
    <row r="22" spans="1:33" s="28" customFormat="1" ht="15.75" customHeight="1">
      <c r="A22" s="117"/>
      <c r="B22" s="334"/>
      <c r="C22" s="138"/>
      <c r="D22" s="36" t="s">
        <v>0</v>
      </c>
      <c r="E22" s="30" t="s">
        <v>229</v>
      </c>
      <c r="F22" s="71">
        <v>1</v>
      </c>
      <c r="G22" s="72">
        <v>2</v>
      </c>
      <c r="H22" s="73">
        <v>3</v>
      </c>
      <c r="I22" s="74">
        <v>4</v>
      </c>
      <c r="J22" s="75">
        <v>5</v>
      </c>
      <c r="K22" s="76">
        <v>6</v>
      </c>
      <c r="L22" s="77">
        <v>7</v>
      </c>
      <c r="M22" s="78">
        <v>8</v>
      </c>
      <c r="N22" s="79">
        <v>9</v>
      </c>
      <c r="O22" s="80">
        <v>10</v>
      </c>
      <c r="P22" s="32" t="s">
        <v>0</v>
      </c>
      <c r="Q22" s="139"/>
      <c r="R22" s="334"/>
      <c r="S22" s="133">
        <f>VLOOKUP($E22,R.VL_DEQResourcesInvolved,2,FALSE)</f>
        <v>0</v>
      </c>
      <c r="T22" s="121">
        <f>VLOOKUP($E22,R.VL_DEQResourcesInvolved,3,FALSE)</f>
        <v>0</v>
      </c>
      <c r="U22" s="121">
        <f>IF(S22=10,T22,VLOOKUP($E22,R.VL_DEQResourcesInvolved,4,FALSE))</f>
        <v>0</v>
      </c>
      <c r="V22" s="575" t="s">
        <v>554</v>
      </c>
      <c r="W22" s="64"/>
      <c r="X22" s="64"/>
      <c r="Y22" s="64"/>
      <c r="Z22" s="64"/>
      <c r="AA22" s="64"/>
      <c r="AB22" s="64"/>
      <c r="AC22" s="64"/>
      <c r="AD22" s="130"/>
      <c r="AE22" s="130"/>
      <c r="AF22" s="130"/>
      <c r="AG22" s="130"/>
    </row>
    <row r="23" spans="1:33" s="28" customFormat="1" ht="15.75" hidden="1" customHeight="1" outlineLevel="1">
      <c r="A23" s="117"/>
      <c r="B23" s="334"/>
      <c r="C23" s="138"/>
      <c r="D23" s="36" t="s">
        <v>0</v>
      </c>
      <c r="E23" s="30" t="s">
        <v>229</v>
      </c>
      <c r="F23" s="71">
        <v>1</v>
      </c>
      <c r="G23" s="72">
        <v>2</v>
      </c>
      <c r="H23" s="73">
        <v>3</v>
      </c>
      <c r="I23" s="74">
        <v>4</v>
      </c>
      <c r="J23" s="75">
        <v>5</v>
      </c>
      <c r="K23" s="76">
        <v>6</v>
      </c>
      <c r="L23" s="77">
        <v>7</v>
      </c>
      <c r="M23" s="78">
        <v>8</v>
      </c>
      <c r="N23" s="79">
        <v>9</v>
      </c>
      <c r="O23" s="80">
        <v>10</v>
      </c>
      <c r="P23" s="32" t="s">
        <v>0</v>
      </c>
      <c r="Q23" s="139"/>
      <c r="R23" s="334"/>
      <c r="S23" s="133">
        <f>VLOOKUP($E23,R.VL_DEQResourcesInvolved,2,FALSE)</f>
        <v>0</v>
      </c>
      <c r="T23" s="121">
        <f>VLOOKUP($E23,R.VL_DEQResourcesInvolved,3,FALSE)</f>
        <v>0</v>
      </c>
      <c r="U23" s="121">
        <f>IF(S23=10,T23,VLOOKUP($E23,R.VL_DEQResourcesInvolved,4,FALSE))</f>
        <v>0</v>
      </c>
      <c r="V23" s="64"/>
      <c r="W23" s="64"/>
      <c r="X23" s="64"/>
      <c r="Y23" s="64"/>
      <c r="Z23" s="64"/>
      <c r="AA23" s="64"/>
      <c r="AB23" s="64"/>
      <c r="AC23" s="64"/>
      <c r="AD23" s="130"/>
      <c r="AE23" s="130"/>
      <c r="AF23" s="130"/>
      <c r="AG23" s="130"/>
    </row>
    <row r="24" spans="1:33" s="28" customFormat="1" ht="15.75" hidden="1" customHeight="1" outlineLevel="1">
      <c r="A24" s="117"/>
      <c r="B24" s="334"/>
      <c r="C24" s="138"/>
      <c r="D24" s="36" t="s">
        <v>0</v>
      </c>
      <c r="E24" s="30" t="s">
        <v>229</v>
      </c>
      <c r="F24" s="71">
        <v>1</v>
      </c>
      <c r="G24" s="72">
        <v>2</v>
      </c>
      <c r="H24" s="73">
        <v>3</v>
      </c>
      <c r="I24" s="74">
        <v>4</v>
      </c>
      <c r="J24" s="75">
        <v>5</v>
      </c>
      <c r="K24" s="76">
        <v>6</v>
      </c>
      <c r="L24" s="77">
        <v>7</v>
      </c>
      <c r="M24" s="78">
        <v>8</v>
      </c>
      <c r="N24" s="79">
        <v>9</v>
      </c>
      <c r="O24" s="80">
        <v>10</v>
      </c>
      <c r="P24" s="32" t="s">
        <v>0</v>
      </c>
      <c r="Q24" s="139"/>
      <c r="R24" s="334"/>
      <c r="S24" s="133">
        <f>VLOOKUP($E24,R.VL_DEQResourcesInvolved,2,FALSE)</f>
        <v>0</v>
      </c>
      <c r="T24" s="121">
        <f>VLOOKUP($E24,R.VL_DEQResourcesInvolved,3,FALSE)</f>
        <v>0</v>
      </c>
      <c r="U24" s="121">
        <f>IF(S24=10,T24,VLOOKUP($E24,R.VL_DEQResourcesInvolved,4,FALSE))</f>
        <v>0</v>
      </c>
      <c r="V24" s="64"/>
      <c r="W24" s="64"/>
      <c r="X24" s="64"/>
      <c r="Y24" s="64"/>
      <c r="Z24" s="64"/>
      <c r="AA24" s="64"/>
      <c r="AB24" s="64"/>
      <c r="AC24" s="64"/>
      <c r="AD24" s="130"/>
      <c r="AE24" s="130"/>
      <c r="AF24" s="130"/>
      <c r="AG24" s="130"/>
    </row>
    <row r="25" spans="1:33" s="28" customFormat="1" ht="15.75" hidden="1" customHeight="1" outlineLevel="1">
      <c r="A25" s="117"/>
      <c r="B25" s="334"/>
      <c r="C25" s="138"/>
      <c r="D25" s="36" t="s">
        <v>0</v>
      </c>
      <c r="E25" s="30" t="s">
        <v>229</v>
      </c>
      <c r="F25" s="71">
        <v>1</v>
      </c>
      <c r="G25" s="72">
        <v>2</v>
      </c>
      <c r="H25" s="73">
        <v>3</v>
      </c>
      <c r="I25" s="74">
        <v>4</v>
      </c>
      <c r="J25" s="75">
        <v>5</v>
      </c>
      <c r="K25" s="76">
        <v>6</v>
      </c>
      <c r="L25" s="77">
        <v>7</v>
      </c>
      <c r="M25" s="78">
        <v>8</v>
      </c>
      <c r="N25" s="79">
        <v>9</v>
      </c>
      <c r="O25" s="80">
        <v>10</v>
      </c>
      <c r="P25" s="32" t="s">
        <v>0</v>
      </c>
      <c r="Q25" s="139"/>
      <c r="R25" s="334"/>
      <c r="S25" s="133">
        <f>VLOOKUP($E25,R.VL_DEQResourcesInvolved,2,FALSE)</f>
        <v>0</v>
      </c>
      <c r="T25" s="121">
        <f>VLOOKUP($E25,R.VL_DEQResourcesInvolved,3,FALSE)</f>
        <v>0</v>
      </c>
      <c r="U25" s="121">
        <f>IF(S25=10,T25,VLOOKUP($E25,R.VL_DEQResourcesInvolved,4,FALSE))</f>
        <v>0</v>
      </c>
      <c r="V25" s="64"/>
      <c r="W25" s="64"/>
      <c r="X25" s="64"/>
      <c r="Y25" s="64"/>
      <c r="Z25" s="64"/>
      <c r="AA25" s="64"/>
      <c r="AB25" s="64"/>
      <c r="AC25" s="64"/>
      <c r="AD25" s="130"/>
      <c r="AE25" s="130"/>
      <c r="AF25" s="130"/>
      <c r="AG25" s="130"/>
    </row>
    <row r="26" spans="1:33" s="28" customFormat="1" ht="14.25" customHeight="1" collapsed="1">
      <c r="A26" s="117"/>
      <c r="B26" s="334"/>
      <c r="C26" s="144"/>
      <c r="D26" s="101"/>
      <c r="E26" s="738"/>
      <c r="F26" s="738"/>
      <c r="G26" s="738"/>
      <c r="H26" s="738"/>
      <c r="I26" s="738"/>
      <c r="J26" s="738"/>
      <c r="K26" s="738"/>
      <c r="L26" s="738"/>
      <c r="M26" s="738"/>
      <c r="N26" s="738"/>
      <c r="O26" s="738"/>
      <c r="P26" s="738"/>
      <c r="Q26" s="145"/>
      <c r="R26" s="334"/>
      <c r="S26" s="132"/>
      <c r="T26" s="131"/>
      <c r="U26" s="131"/>
      <c r="V26" s="64"/>
      <c r="W26" s="64"/>
      <c r="X26" s="64"/>
      <c r="Y26" s="64"/>
      <c r="Z26" s="64"/>
      <c r="AA26" s="64"/>
      <c r="AB26" s="64"/>
      <c r="AC26" s="64"/>
      <c r="AD26" s="130"/>
      <c r="AE26" s="130"/>
      <c r="AF26" s="130"/>
      <c r="AG26" s="130"/>
    </row>
    <row r="27" spans="1:33" s="33" customFormat="1" ht="30" customHeight="1">
      <c r="A27" s="350" t="s">
        <v>114</v>
      </c>
      <c r="B27" s="334"/>
      <c r="C27" s="136"/>
      <c r="D27" s="306" t="s">
        <v>131</v>
      </c>
      <c r="E27" s="302"/>
      <c r="F27" s="94"/>
      <c r="G27" s="94"/>
      <c r="H27" s="94"/>
      <c r="I27" s="94"/>
      <c r="J27" s="94"/>
      <c r="K27" s="94"/>
      <c r="L27" s="94"/>
      <c r="M27" s="94"/>
      <c r="N27" s="94"/>
      <c r="O27" s="94"/>
      <c r="P27" s="94"/>
      <c r="Q27" s="137"/>
      <c r="R27" s="334"/>
      <c r="S27" s="134"/>
      <c r="T27" s="131"/>
      <c r="U27" s="131"/>
      <c r="V27" s="129"/>
      <c r="W27" s="129"/>
      <c r="X27" s="129"/>
      <c r="Y27" s="129"/>
      <c r="Z27" s="129"/>
      <c r="AA27" s="129"/>
      <c r="AB27" s="129"/>
      <c r="AC27" s="129"/>
      <c r="AD27" s="127"/>
      <c r="AE27" s="127"/>
      <c r="AF27" s="127"/>
      <c r="AG27" s="127"/>
    </row>
    <row r="28" spans="1:33" s="33" customFormat="1" ht="14.25" customHeight="1">
      <c r="A28" s="116"/>
      <c r="B28" s="334"/>
      <c r="C28" s="136"/>
      <c r="D28" s="443" t="s">
        <v>53</v>
      </c>
      <c r="E28" s="94"/>
      <c r="F28" s="94"/>
      <c r="G28" s="94"/>
      <c r="H28" s="94"/>
      <c r="I28" s="94"/>
      <c r="J28" s="94"/>
      <c r="K28" s="94"/>
      <c r="L28" s="94"/>
      <c r="M28" s="94"/>
      <c r="N28" s="94"/>
      <c r="O28" s="94"/>
      <c r="P28" s="94"/>
      <c r="Q28" s="137"/>
      <c r="R28" s="334"/>
      <c r="S28" s="235"/>
      <c r="T28" s="229"/>
      <c r="U28" s="229"/>
      <c r="V28" s="230"/>
      <c r="W28" s="230"/>
      <c r="X28" s="230"/>
      <c r="Y28" s="230"/>
      <c r="Z28" s="230"/>
      <c r="AA28" s="230"/>
      <c r="AB28" s="230"/>
      <c r="AC28" s="230"/>
      <c r="AD28" s="127"/>
      <c r="AE28" s="127"/>
      <c r="AF28" s="127"/>
      <c r="AG28" s="127"/>
    </row>
    <row r="29" spans="1:33" s="28" customFormat="1" ht="15.75" customHeight="1">
      <c r="A29" s="117"/>
      <c r="B29" s="334"/>
      <c r="C29" s="138"/>
      <c r="D29" s="719" t="s">
        <v>0</v>
      </c>
      <c r="E29" s="720"/>
      <c r="F29" s="720"/>
      <c r="G29" s="720"/>
      <c r="H29" s="720"/>
      <c r="I29" s="720"/>
      <c r="J29" s="720"/>
      <c r="K29" s="720"/>
      <c r="L29" s="720"/>
      <c r="M29" s="720"/>
      <c r="N29" s="720"/>
      <c r="O29" s="720"/>
      <c r="P29" s="721"/>
      <c r="Q29" s="139"/>
      <c r="R29" s="334"/>
      <c r="S29" s="132" t="s">
        <v>0</v>
      </c>
      <c r="T29" s="131"/>
      <c r="U29" s="131"/>
      <c r="V29" s="64"/>
      <c r="W29" s="64"/>
      <c r="X29" s="64"/>
      <c r="Y29" s="64"/>
      <c r="Z29" s="64"/>
      <c r="AA29" s="64"/>
      <c r="AB29" s="64"/>
      <c r="AC29" s="64"/>
      <c r="AD29" s="130"/>
      <c r="AE29" s="130"/>
      <c r="AF29" s="130"/>
      <c r="AG29" s="130"/>
    </row>
    <row r="30" spans="1:33" s="33" customFormat="1" ht="14.25" customHeight="1">
      <c r="A30" s="116"/>
      <c r="B30" s="334"/>
      <c r="C30" s="232"/>
      <c r="D30" s="442" t="s">
        <v>60</v>
      </c>
      <c r="E30" s="292" t="s">
        <v>18</v>
      </c>
      <c r="F30" s="749" t="s">
        <v>19</v>
      </c>
      <c r="G30" s="749"/>
      <c r="H30" s="749"/>
      <c r="I30" s="749"/>
      <c r="J30" s="749"/>
      <c r="K30" s="749"/>
      <c r="L30" s="749"/>
      <c r="M30" s="749"/>
      <c r="N30" s="749"/>
      <c r="O30" s="749"/>
      <c r="P30" s="292" t="s">
        <v>20</v>
      </c>
      <c r="Q30" s="137"/>
      <c r="R30" s="334"/>
      <c r="S30" s="228"/>
      <c r="T30" s="229"/>
      <c r="U30" s="229"/>
      <c r="V30" s="230"/>
      <c r="W30" s="230"/>
      <c r="X30" s="230"/>
      <c r="Y30" s="230"/>
      <c r="Z30" s="230"/>
      <c r="AA30" s="230"/>
      <c r="AB30" s="230"/>
      <c r="AC30" s="230"/>
      <c r="AD30" s="127"/>
      <c r="AE30" s="127"/>
      <c r="AF30" s="127"/>
      <c r="AG30" s="127"/>
    </row>
    <row r="31" spans="1:33" s="28" customFormat="1" ht="15.75" customHeight="1">
      <c r="A31" s="117"/>
      <c r="B31" s="334"/>
      <c r="C31" s="138"/>
      <c r="D31" s="36" t="s">
        <v>0</v>
      </c>
      <c r="E31" s="30" t="s">
        <v>229</v>
      </c>
      <c r="F31" s="71">
        <v>1</v>
      </c>
      <c r="G31" s="72">
        <v>2</v>
      </c>
      <c r="H31" s="73">
        <v>3</v>
      </c>
      <c r="I31" s="74">
        <v>4</v>
      </c>
      <c r="J31" s="75">
        <v>5</v>
      </c>
      <c r="K31" s="76">
        <v>6</v>
      </c>
      <c r="L31" s="77">
        <v>7</v>
      </c>
      <c r="M31" s="78">
        <v>8</v>
      </c>
      <c r="N31" s="79">
        <v>9</v>
      </c>
      <c r="O31" s="80">
        <v>10</v>
      </c>
      <c r="P31" s="32" t="s">
        <v>0</v>
      </c>
      <c r="Q31" s="139"/>
      <c r="R31" s="334"/>
      <c r="S31" s="133">
        <f>VLOOKUP($E31,R.VL_DEQResourcesInvolved,2,FALSE)</f>
        <v>0</v>
      </c>
      <c r="T31" s="121">
        <f>VLOOKUP($E31,R.VL_DEQResourcesInvolved,3,FALSE)</f>
        <v>0</v>
      </c>
      <c r="U31" s="121">
        <f>IF(S31=10,T31,VLOOKUP($E31,R.VL_DEQResourcesInvolved,4,FALSE))</f>
        <v>0</v>
      </c>
      <c r="V31" s="575" t="s">
        <v>554</v>
      </c>
      <c r="W31" s="64"/>
      <c r="X31" s="64"/>
      <c r="Y31" s="64"/>
      <c r="Z31" s="64"/>
      <c r="AA31" s="64"/>
      <c r="AB31" s="64"/>
      <c r="AC31" s="64"/>
      <c r="AD31" s="130"/>
      <c r="AE31" s="130"/>
      <c r="AF31" s="130"/>
      <c r="AG31" s="130"/>
    </row>
    <row r="32" spans="1:33" s="28" customFormat="1" ht="15.75" hidden="1" customHeight="1" outlineLevel="1">
      <c r="A32" s="117"/>
      <c r="B32" s="334"/>
      <c r="C32" s="138"/>
      <c r="D32" s="36" t="s">
        <v>0</v>
      </c>
      <c r="E32" s="30" t="s">
        <v>229</v>
      </c>
      <c r="F32" s="71">
        <v>1</v>
      </c>
      <c r="G32" s="72">
        <v>2</v>
      </c>
      <c r="H32" s="73">
        <v>3</v>
      </c>
      <c r="I32" s="74">
        <v>4</v>
      </c>
      <c r="J32" s="75">
        <v>5</v>
      </c>
      <c r="K32" s="76">
        <v>6</v>
      </c>
      <c r="L32" s="77">
        <v>7</v>
      </c>
      <c r="M32" s="78">
        <v>8</v>
      </c>
      <c r="N32" s="79">
        <v>9</v>
      </c>
      <c r="O32" s="80">
        <v>10</v>
      </c>
      <c r="P32" s="32" t="s">
        <v>0</v>
      </c>
      <c r="Q32" s="139"/>
      <c r="R32" s="334"/>
      <c r="S32" s="133">
        <f>VLOOKUP($E32,R.VL_DEQResourcesInvolved,2,FALSE)</f>
        <v>0</v>
      </c>
      <c r="T32" s="121">
        <f>VLOOKUP($E32,R.VL_DEQResourcesInvolved,3,FALSE)</f>
        <v>0</v>
      </c>
      <c r="U32" s="121">
        <f>IF(S32=10,T32,VLOOKUP($E32,R.VL_DEQResourcesInvolved,4,FALSE))</f>
        <v>0</v>
      </c>
      <c r="V32" s="64"/>
      <c r="W32" s="64"/>
      <c r="X32" s="64"/>
      <c r="Y32" s="64"/>
      <c r="Z32" s="64"/>
      <c r="AA32" s="64"/>
      <c r="AB32" s="64"/>
      <c r="AC32" s="64"/>
      <c r="AD32" s="130"/>
      <c r="AE32" s="130"/>
      <c r="AF32" s="130"/>
      <c r="AG32" s="130"/>
    </row>
    <row r="33" spans="1:33" s="28" customFormat="1" ht="15.75" hidden="1" customHeight="1" outlineLevel="1">
      <c r="A33" s="117"/>
      <c r="B33" s="334"/>
      <c r="C33" s="138"/>
      <c r="D33" s="36" t="s">
        <v>0</v>
      </c>
      <c r="E33" s="30" t="s">
        <v>229</v>
      </c>
      <c r="F33" s="71">
        <v>1</v>
      </c>
      <c r="G33" s="72">
        <v>2</v>
      </c>
      <c r="H33" s="73">
        <v>3</v>
      </c>
      <c r="I33" s="74">
        <v>4</v>
      </c>
      <c r="J33" s="75">
        <v>5</v>
      </c>
      <c r="K33" s="76">
        <v>6</v>
      </c>
      <c r="L33" s="77">
        <v>7</v>
      </c>
      <c r="M33" s="78">
        <v>8</v>
      </c>
      <c r="N33" s="79">
        <v>9</v>
      </c>
      <c r="O33" s="80">
        <v>10</v>
      </c>
      <c r="P33" s="32" t="s">
        <v>0</v>
      </c>
      <c r="Q33" s="139"/>
      <c r="R33" s="334"/>
      <c r="S33" s="133">
        <f>VLOOKUP($E33,R.VL_DEQResourcesInvolved,2,FALSE)</f>
        <v>0</v>
      </c>
      <c r="T33" s="121">
        <f>VLOOKUP($E33,R.VL_DEQResourcesInvolved,3,FALSE)</f>
        <v>0</v>
      </c>
      <c r="U33" s="121">
        <f>IF(S33=10,T33,VLOOKUP($E33,R.VL_DEQResourcesInvolved,4,FALSE))</f>
        <v>0</v>
      </c>
      <c r="V33" s="64"/>
      <c r="W33" s="64"/>
      <c r="X33" s="64"/>
      <c r="Y33" s="64"/>
      <c r="Z33" s="64"/>
      <c r="AA33" s="64"/>
      <c r="AB33" s="64"/>
      <c r="AC33" s="64"/>
      <c r="AD33" s="130"/>
      <c r="AE33" s="130"/>
      <c r="AF33" s="130"/>
      <c r="AG33" s="130"/>
    </row>
    <row r="34" spans="1:33" s="28" customFormat="1" ht="15.75" hidden="1" customHeight="1" outlineLevel="1">
      <c r="A34" s="117"/>
      <c r="B34" s="334"/>
      <c r="C34" s="138"/>
      <c r="D34" s="36" t="s">
        <v>0</v>
      </c>
      <c r="E34" s="30" t="s">
        <v>229</v>
      </c>
      <c r="F34" s="71">
        <v>1</v>
      </c>
      <c r="G34" s="72">
        <v>2</v>
      </c>
      <c r="H34" s="73">
        <v>3</v>
      </c>
      <c r="I34" s="74">
        <v>4</v>
      </c>
      <c r="J34" s="75">
        <v>5</v>
      </c>
      <c r="K34" s="76">
        <v>6</v>
      </c>
      <c r="L34" s="77">
        <v>7</v>
      </c>
      <c r="M34" s="78">
        <v>8</v>
      </c>
      <c r="N34" s="79">
        <v>9</v>
      </c>
      <c r="O34" s="80">
        <v>10</v>
      </c>
      <c r="P34" s="32" t="s">
        <v>0</v>
      </c>
      <c r="Q34" s="139"/>
      <c r="R34" s="334"/>
      <c r="S34" s="133">
        <f>VLOOKUP($E34,R.VL_DEQResourcesInvolved,2,FALSE)</f>
        <v>0</v>
      </c>
      <c r="T34" s="121">
        <f>VLOOKUP($E34,R.VL_DEQResourcesInvolved,3,FALSE)</f>
        <v>0</v>
      </c>
      <c r="U34" s="121">
        <f>IF(S34=10,T34,VLOOKUP($E34,R.VL_DEQResourcesInvolved,4,FALSE))</f>
        <v>0</v>
      </c>
      <c r="V34" s="64"/>
      <c r="W34" s="108" t="s">
        <v>0</v>
      </c>
      <c r="X34" s="64"/>
      <c r="Y34" s="64"/>
      <c r="Z34" s="64"/>
      <c r="AA34" s="64"/>
      <c r="AB34" s="64"/>
      <c r="AC34" s="64"/>
      <c r="AD34" s="130"/>
      <c r="AE34" s="130"/>
      <c r="AF34" s="130"/>
      <c r="AG34" s="130"/>
    </row>
    <row r="35" spans="1:33" s="28" customFormat="1" ht="14.25" customHeight="1" collapsed="1">
      <c r="A35" s="117"/>
      <c r="B35" s="334"/>
      <c r="C35" s="245"/>
      <c r="D35" s="443" t="s">
        <v>52</v>
      </c>
      <c r="E35" s="31"/>
      <c r="F35" s="31"/>
      <c r="G35" s="31"/>
      <c r="H35" s="31"/>
      <c r="I35" s="31"/>
      <c r="J35" s="31"/>
      <c r="K35" s="31"/>
      <c r="L35" s="31"/>
      <c r="M35" s="31"/>
      <c r="N35" s="31"/>
      <c r="O35" s="31"/>
      <c r="P35" s="31"/>
      <c r="Q35" s="143"/>
      <c r="R35" s="334"/>
      <c r="S35" s="228"/>
      <c r="T35" s="229"/>
      <c r="U35" s="229"/>
      <c r="V35" s="236"/>
      <c r="W35" s="108" t="s">
        <v>0</v>
      </c>
      <c r="X35" s="236"/>
      <c r="Y35" s="236"/>
      <c r="Z35" s="236"/>
      <c r="AA35" s="236"/>
      <c r="AB35" s="236"/>
      <c r="AC35" s="236"/>
      <c r="AD35" s="130"/>
      <c r="AE35" s="130"/>
      <c r="AF35" s="130"/>
      <c r="AG35" s="130"/>
    </row>
    <row r="36" spans="1:33" s="28" customFormat="1" ht="15.75" customHeight="1">
      <c r="A36" s="117"/>
      <c r="B36" s="334"/>
      <c r="C36" s="138"/>
      <c r="D36" s="724"/>
      <c r="E36" s="725"/>
      <c r="F36" s="725"/>
      <c r="G36" s="725"/>
      <c r="H36" s="725"/>
      <c r="I36" s="725"/>
      <c r="J36" s="725"/>
      <c r="K36" s="725"/>
      <c r="L36" s="725"/>
      <c r="M36" s="725"/>
      <c r="N36" s="725"/>
      <c r="O36" s="725"/>
      <c r="P36" s="726"/>
      <c r="Q36" s="139"/>
      <c r="R36" s="334"/>
      <c r="S36" s="132" t="s">
        <v>0</v>
      </c>
      <c r="T36" s="131"/>
      <c r="U36" s="131"/>
      <c r="V36" s="64"/>
      <c r="W36" s="108" t="s">
        <v>0</v>
      </c>
      <c r="X36" s="64"/>
      <c r="Y36" s="64"/>
      <c r="Z36" s="64"/>
      <c r="AA36" s="64"/>
      <c r="AB36" s="64"/>
      <c r="AC36" s="64"/>
      <c r="AD36" s="130"/>
      <c r="AE36" s="130"/>
      <c r="AF36" s="130"/>
      <c r="AG36" s="130"/>
    </row>
    <row r="37" spans="1:33" s="203" customFormat="1" ht="15.75" customHeight="1">
      <c r="A37" s="200"/>
      <c r="B37" s="334"/>
      <c r="C37" s="232"/>
      <c r="D37" s="197" t="s">
        <v>0</v>
      </c>
      <c r="E37" s="292" t="s">
        <v>18</v>
      </c>
      <c r="F37" s="749" t="s">
        <v>19</v>
      </c>
      <c r="G37" s="749"/>
      <c r="H37" s="749"/>
      <c r="I37" s="749"/>
      <c r="J37" s="749"/>
      <c r="K37" s="749"/>
      <c r="L37" s="749"/>
      <c r="M37" s="749"/>
      <c r="N37" s="749"/>
      <c r="O37" s="749"/>
      <c r="P37" s="292" t="s">
        <v>20</v>
      </c>
      <c r="Q37" s="137"/>
      <c r="R37" s="334"/>
      <c r="S37" s="204"/>
      <c r="T37" s="205"/>
      <c r="U37" s="205"/>
      <c r="V37" s="202"/>
      <c r="W37" s="226" t="s">
        <v>0</v>
      </c>
      <c r="X37" s="202"/>
      <c r="Y37" s="202"/>
      <c r="Z37" s="202"/>
      <c r="AA37" s="202"/>
      <c r="AB37" s="202"/>
      <c r="AC37" s="202"/>
      <c r="AD37" s="188"/>
      <c r="AE37" s="188"/>
      <c r="AF37" s="188"/>
      <c r="AG37" s="188"/>
    </row>
    <row r="38" spans="1:33" s="28" customFormat="1" ht="15.75" customHeight="1">
      <c r="A38" s="117"/>
      <c r="B38" s="334"/>
      <c r="C38" s="138"/>
      <c r="D38" s="36" t="s">
        <v>0</v>
      </c>
      <c r="E38" s="30" t="s">
        <v>229</v>
      </c>
      <c r="F38" s="71">
        <v>1</v>
      </c>
      <c r="G38" s="72">
        <v>2</v>
      </c>
      <c r="H38" s="73">
        <v>3</v>
      </c>
      <c r="I38" s="74">
        <v>4</v>
      </c>
      <c r="J38" s="75">
        <v>5</v>
      </c>
      <c r="K38" s="76">
        <v>6</v>
      </c>
      <c r="L38" s="77">
        <v>7</v>
      </c>
      <c r="M38" s="78">
        <v>8</v>
      </c>
      <c r="N38" s="79">
        <v>9</v>
      </c>
      <c r="O38" s="80">
        <v>10</v>
      </c>
      <c r="P38" s="32" t="s">
        <v>0</v>
      </c>
      <c r="Q38" s="139"/>
      <c r="R38" s="334"/>
      <c r="S38" s="133">
        <f>VLOOKUP($E38,R.VL_DEQResourcesInvolved,2,FALSE)</f>
        <v>0</v>
      </c>
      <c r="T38" s="121">
        <f>VLOOKUP($E38,R.VL_DEQResourcesInvolved,3,FALSE)</f>
        <v>0</v>
      </c>
      <c r="U38" s="121">
        <f>IF(S38=10,T38,VLOOKUP($E38,R.VL_DEQResourcesInvolved,4,FALSE))</f>
        <v>0</v>
      </c>
      <c r="V38" s="575" t="s">
        <v>554</v>
      </c>
      <c r="W38" s="64"/>
      <c r="X38" s="64"/>
      <c r="Y38" s="64"/>
      <c r="Z38" s="64"/>
      <c r="AA38" s="64"/>
      <c r="AB38" s="64"/>
      <c r="AC38" s="64"/>
      <c r="AD38" s="130"/>
      <c r="AE38" s="130"/>
      <c r="AF38" s="130"/>
      <c r="AG38" s="130"/>
    </row>
    <row r="39" spans="1:33" s="28" customFormat="1" ht="15.75" hidden="1" customHeight="1" outlineLevel="1">
      <c r="A39" s="117"/>
      <c r="B39" s="334"/>
      <c r="C39" s="138"/>
      <c r="D39" s="36" t="s">
        <v>0</v>
      </c>
      <c r="E39" s="30" t="s">
        <v>229</v>
      </c>
      <c r="F39" s="71">
        <v>1</v>
      </c>
      <c r="G39" s="72">
        <v>2</v>
      </c>
      <c r="H39" s="73">
        <v>3</v>
      </c>
      <c r="I39" s="74">
        <v>4</v>
      </c>
      <c r="J39" s="75">
        <v>5</v>
      </c>
      <c r="K39" s="76">
        <v>6</v>
      </c>
      <c r="L39" s="77">
        <v>7</v>
      </c>
      <c r="M39" s="78">
        <v>8</v>
      </c>
      <c r="N39" s="79">
        <v>9</v>
      </c>
      <c r="O39" s="80">
        <v>10</v>
      </c>
      <c r="P39" s="32" t="s">
        <v>0</v>
      </c>
      <c r="Q39" s="139"/>
      <c r="R39" s="334"/>
      <c r="S39" s="133">
        <f>VLOOKUP($E39,R.VL_DEQResourcesInvolved,2,FALSE)</f>
        <v>0</v>
      </c>
      <c r="T39" s="121">
        <f>VLOOKUP($E39,R.VL_DEQResourcesInvolved,3,FALSE)</f>
        <v>0</v>
      </c>
      <c r="U39" s="121">
        <f>IF(S39=10,T39,VLOOKUP($E39,R.VL_DEQResourcesInvolved,4,FALSE))</f>
        <v>0</v>
      </c>
      <c r="V39" s="64"/>
      <c r="W39" s="64"/>
      <c r="X39" s="64"/>
      <c r="Y39" s="64"/>
      <c r="Z39" s="64"/>
      <c r="AA39" s="64"/>
      <c r="AB39" s="64"/>
      <c r="AC39" s="64"/>
      <c r="AD39" s="130"/>
      <c r="AE39" s="130"/>
      <c r="AF39" s="130"/>
      <c r="AG39" s="130"/>
    </row>
    <row r="40" spans="1:33" s="28" customFormat="1" ht="15.75" hidden="1" customHeight="1" outlineLevel="1">
      <c r="A40" s="117"/>
      <c r="B40" s="334"/>
      <c r="C40" s="138"/>
      <c r="D40" s="36" t="s">
        <v>0</v>
      </c>
      <c r="E40" s="30" t="s">
        <v>229</v>
      </c>
      <c r="F40" s="71">
        <v>1</v>
      </c>
      <c r="G40" s="72">
        <v>2</v>
      </c>
      <c r="H40" s="73">
        <v>3</v>
      </c>
      <c r="I40" s="74">
        <v>4</v>
      </c>
      <c r="J40" s="75">
        <v>5</v>
      </c>
      <c r="K40" s="76">
        <v>6</v>
      </c>
      <c r="L40" s="77">
        <v>7</v>
      </c>
      <c r="M40" s="78">
        <v>8</v>
      </c>
      <c r="N40" s="79">
        <v>9</v>
      </c>
      <c r="O40" s="80">
        <v>10</v>
      </c>
      <c r="P40" s="32" t="s">
        <v>0</v>
      </c>
      <c r="Q40" s="139"/>
      <c r="R40" s="334"/>
      <c r="S40" s="133">
        <f>VLOOKUP($E40,R.VL_DEQResourcesInvolved,2,FALSE)</f>
        <v>0</v>
      </c>
      <c r="T40" s="121">
        <f>VLOOKUP($E40,R.VL_DEQResourcesInvolved,3,FALSE)</f>
        <v>0</v>
      </c>
      <c r="U40" s="121">
        <f>IF(S40=10,T40,VLOOKUP($E40,R.VL_DEQResourcesInvolved,4,FALSE))</f>
        <v>0</v>
      </c>
      <c r="V40" s="64"/>
      <c r="W40" s="64"/>
      <c r="X40" s="64"/>
      <c r="Y40" s="64"/>
      <c r="Z40" s="64"/>
      <c r="AA40" s="64"/>
      <c r="AB40" s="64"/>
      <c r="AC40" s="64"/>
      <c r="AD40" s="130"/>
      <c r="AE40" s="130"/>
      <c r="AF40" s="130"/>
      <c r="AG40" s="130"/>
    </row>
    <row r="41" spans="1:33" s="28" customFormat="1" ht="15.75" hidden="1" customHeight="1" outlineLevel="1">
      <c r="A41" s="117"/>
      <c r="B41" s="334"/>
      <c r="C41" s="138"/>
      <c r="D41" s="36" t="s">
        <v>0</v>
      </c>
      <c r="E41" s="30" t="s">
        <v>229</v>
      </c>
      <c r="F41" s="71">
        <v>1</v>
      </c>
      <c r="G41" s="72">
        <v>2</v>
      </c>
      <c r="H41" s="73">
        <v>3</v>
      </c>
      <c r="I41" s="74">
        <v>4</v>
      </c>
      <c r="J41" s="75">
        <v>5</v>
      </c>
      <c r="K41" s="76">
        <v>6</v>
      </c>
      <c r="L41" s="77">
        <v>7</v>
      </c>
      <c r="M41" s="78">
        <v>8</v>
      </c>
      <c r="N41" s="79">
        <v>9</v>
      </c>
      <c r="O41" s="80">
        <v>10</v>
      </c>
      <c r="P41" s="32" t="s">
        <v>0</v>
      </c>
      <c r="Q41" s="139"/>
      <c r="R41" s="334"/>
      <c r="S41" s="133">
        <f>VLOOKUP($E41,R.VL_DEQResourcesInvolved,2,FALSE)</f>
        <v>0</v>
      </c>
      <c r="T41" s="121">
        <f>VLOOKUP($E41,R.VL_DEQResourcesInvolved,3,FALSE)</f>
        <v>0</v>
      </c>
      <c r="U41" s="121">
        <f>IF(S41=10,T41,VLOOKUP($E41,R.VL_DEQResourcesInvolved,4,FALSE))</f>
        <v>0</v>
      </c>
      <c r="V41" s="64"/>
      <c r="W41" s="64"/>
      <c r="X41" s="64"/>
      <c r="Y41" s="64"/>
      <c r="Z41" s="64"/>
      <c r="AA41" s="64"/>
      <c r="AB41" s="64"/>
      <c r="AC41" s="64"/>
      <c r="AD41" s="130"/>
      <c r="AE41" s="130"/>
      <c r="AF41" s="130"/>
      <c r="AG41" s="130"/>
    </row>
    <row r="42" spans="1:33" s="28" customFormat="1" ht="14.25" customHeight="1" collapsed="1">
      <c r="A42" s="117"/>
      <c r="B42" s="334"/>
      <c r="C42" s="376"/>
      <c r="D42" s="481"/>
      <c r="E42" s="739"/>
      <c r="F42" s="739"/>
      <c r="G42" s="739"/>
      <c r="H42" s="739"/>
      <c r="I42" s="739"/>
      <c r="J42" s="739"/>
      <c r="K42" s="739"/>
      <c r="L42" s="739"/>
      <c r="M42" s="739"/>
      <c r="N42" s="739"/>
      <c r="O42" s="739"/>
      <c r="P42" s="739"/>
      <c r="Q42" s="379"/>
      <c r="R42" s="334"/>
      <c r="S42" s="132"/>
      <c r="T42" s="131"/>
      <c r="U42" s="131"/>
      <c r="V42" s="64"/>
      <c r="W42" s="64"/>
      <c r="X42" s="64"/>
      <c r="Y42" s="64"/>
      <c r="Z42" s="64"/>
      <c r="AA42" s="64"/>
      <c r="AB42" s="64"/>
      <c r="AC42" s="64"/>
      <c r="AD42" s="130"/>
      <c r="AE42" s="130"/>
      <c r="AF42" s="130"/>
      <c r="AG42" s="130"/>
    </row>
    <row r="43" spans="1:33" s="33" customFormat="1" ht="30" customHeight="1">
      <c r="A43" s="301"/>
      <c r="B43" s="334"/>
      <c r="C43" s="392" t="s">
        <v>0</v>
      </c>
      <c r="D43" s="381" t="s">
        <v>132</v>
      </c>
      <c r="E43" s="386"/>
      <c r="F43" s="386"/>
      <c r="G43" s="386"/>
      <c r="H43" s="386"/>
      <c r="I43" s="386"/>
      <c r="J43" s="386"/>
      <c r="K43" s="386"/>
      <c r="L43" s="386"/>
      <c r="M43" s="386"/>
      <c r="N43" s="386"/>
      <c r="O43" s="386"/>
      <c r="P43" s="386"/>
      <c r="Q43" s="388"/>
      <c r="R43" s="334"/>
      <c r="S43" s="134"/>
      <c r="T43" s="131" t="s">
        <v>0</v>
      </c>
      <c r="U43" s="131"/>
      <c r="V43" s="129"/>
      <c r="W43" s="129"/>
      <c r="X43" s="129"/>
      <c r="Y43" s="129"/>
      <c r="Z43" s="129"/>
      <c r="AA43" s="129"/>
      <c r="AB43" s="129"/>
      <c r="AC43" s="129"/>
      <c r="AD43" s="127"/>
      <c r="AE43" s="127"/>
      <c r="AF43" s="127"/>
      <c r="AG43" s="127"/>
    </row>
    <row r="44" spans="1:33" s="33" customFormat="1" ht="14.25" customHeight="1">
      <c r="A44" s="301"/>
      <c r="B44" s="334"/>
      <c r="C44" s="232"/>
      <c r="D44" s="443" t="s">
        <v>53</v>
      </c>
      <c r="E44" s="94"/>
      <c r="F44" s="94"/>
      <c r="G44" s="94"/>
      <c r="H44" s="94"/>
      <c r="I44" s="94"/>
      <c r="J44" s="94"/>
      <c r="K44" s="94"/>
      <c r="L44" s="94"/>
      <c r="M44" s="94"/>
      <c r="N44" s="94"/>
      <c r="O44" s="94"/>
      <c r="P44" s="94"/>
      <c r="Q44" s="137"/>
      <c r="R44" s="334"/>
      <c r="S44" s="134"/>
      <c r="T44" s="131"/>
      <c r="U44" s="131"/>
      <c r="V44" s="129"/>
      <c r="W44" s="129"/>
      <c r="X44" s="129"/>
      <c r="Y44" s="129"/>
      <c r="Z44" s="129"/>
      <c r="AA44" s="129"/>
      <c r="AB44" s="129"/>
      <c r="AC44" s="129"/>
      <c r="AD44" s="127"/>
      <c r="AE44" s="127"/>
      <c r="AF44" s="127"/>
      <c r="AG44" s="127"/>
    </row>
    <row r="45" spans="1:33" s="28" customFormat="1" ht="15.75" customHeight="1">
      <c r="A45" s="117"/>
      <c r="B45" s="334"/>
      <c r="C45" s="138"/>
      <c r="D45" s="719"/>
      <c r="E45" s="720"/>
      <c r="F45" s="720"/>
      <c r="G45" s="720"/>
      <c r="H45" s="720"/>
      <c r="I45" s="720"/>
      <c r="J45" s="720"/>
      <c r="K45" s="720"/>
      <c r="L45" s="720"/>
      <c r="M45" s="720"/>
      <c r="N45" s="720"/>
      <c r="O45" s="720"/>
      <c r="P45" s="721"/>
      <c r="Q45" s="139"/>
      <c r="R45" s="334"/>
      <c r="S45" s="132" t="s">
        <v>0</v>
      </c>
      <c r="T45" s="131"/>
      <c r="U45" s="131"/>
      <c r="V45" s="64"/>
      <c r="W45" s="64"/>
      <c r="X45" s="64"/>
      <c r="Y45" s="64"/>
      <c r="Z45" s="64"/>
      <c r="AA45" s="64"/>
      <c r="AB45" s="64"/>
      <c r="AC45" s="64"/>
      <c r="AD45" s="130"/>
      <c r="AE45" s="130"/>
      <c r="AF45" s="130"/>
      <c r="AG45" s="130"/>
    </row>
    <row r="46" spans="1:33" s="33" customFormat="1" ht="15.75" customHeight="1">
      <c r="A46" s="116"/>
      <c r="B46" s="334"/>
      <c r="C46" s="233"/>
      <c r="D46" s="497" t="s">
        <v>60</v>
      </c>
      <c r="E46" s="393" t="s">
        <v>18</v>
      </c>
      <c r="F46" s="733" t="s">
        <v>19</v>
      </c>
      <c r="G46" s="733"/>
      <c r="H46" s="733"/>
      <c r="I46" s="733"/>
      <c r="J46" s="733"/>
      <c r="K46" s="733"/>
      <c r="L46" s="733"/>
      <c r="M46" s="733"/>
      <c r="N46" s="733"/>
      <c r="O46" s="733"/>
      <c r="P46" s="393" t="s">
        <v>20</v>
      </c>
      <c r="Q46" s="137"/>
      <c r="R46" s="334"/>
      <c r="S46" s="228"/>
      <c r="T46" s="229"/>
      <c r="U46" s="229"/>
      <c r="V46" s="230"/>
      <c r="W46" s="230"/>
      <c r="X46" s="230"/>
      <c r="Y46" s="230"/>
      <c r="Z46" s="230"/>
      <c r="AA46" s="230"/>
      <c r="AB46" s="230"/>
      <c r="AC46" s="230"/>
      <c r="AD46" s="127"/>
      <c r="AE46" s="127"/>
      <c r="AF46" s="127"/>
      <c r="AG46" s="127"/>
    </row>
    <row r="47" spans="1:33" s="28" customFormat="1" ht="15.75" customHeight="1">
      <c r="A47" s="117"/>
      <c r="B47" s="334"/>
      <c r="C47" s="138"/>
      <c r="D47" s="36" t="s">
        <v>0</v>
      </c>
      <c r="E47" s="30" t="s">
        <v>229</v>
      </c>
      <c r="F47" s="71">
        <v>1</v>
      </c>
      <c r="G47" s="72">
        <v>2</v>
      </c>
      <c r="H47" s="73">
        <v>3</v>
      </c>
      <c r="I47" s="74">
        <v>4</v>
      </c>
      <c r="J47" s="75">
        <v>5</v>
      </c>
      <c r="K47" s="76">
        <v>6</v>
      </c>
      <c r="L47" s="77">
        <v>7</v>
      </c>
      <c r="M47" s="78">
        <v>8</v>
      </c>
      <c r="N47" s="79">
        <v>9</v>
      </c>
      <c r="O47" s="80">
        <v>10</v>
      </c>
      <c r="P47" s="32" t="s">
        <v>0</v>
      </c>
      <c r="Q47" s="139"/>
      <c r="R47" s="334"/>
      <c r="S47" s="133">
        <f>VLOOKUP($E47,R.VL_DEQResourcesInvolved,2,FALSE)</f>
        <v>0</v>
      </c>
      <c r="T47" s="121">
        <f>VLOOKUP($E47,R.VL_DEQResourcesInvolved,3,FALSE)</f>
        <v>0</v>
      </c>
      <c r="U47" s="121">
        <f>IF(S47=10,T47,VLOOKUP($E47,R.VL_DEQResourcesInvolved,4,FALSE))</f>
        <v>0</v>
      </c>
      <c r="V47" s="575" t="s">
        <v>554</v>
      </c>
      <c r="W47" s="64"/>
      <c r="X47" s="64"/>
      <c r="Y47" s="64"/>
      <c r="Z47" s="64"/>
      <c r="AA47" s="64"/>
      <c r="AB47" s="64"/>
      <c r="AC47" s="64"/>
      <c r="AD47" s="130"/>
      <c r="AE47" s="130"/>
      <c r="AF47" s="130"/>
      <c r="AG47" s="130"/>
    </row>
    <row r="48" spans="1:33" s="28" customFormat="1" ht="15.75" hidden="1" customHeight="1" outlineLevel="1">
      <c r="A48" s="117"/>
      <c r="B48" s="334"/>
      <c r="C48" s="138"/>
      <c r="D48" s="36" t="s">
        <v>0</v>
      </c>
      <c r="E48" s="30" t="s">
        <v>229</v>
      </c>
      <c r="F48" s="71">
        <v>1</v>
      </c>
      <c r="G48" s="72">
        <v>2</v>
      </c>
      <c r="H48" s="73">
        <v>3</v>
      </c>
      <c r="I48" s="74">
        <v>4</v>
      </c>
      <c r="J48" s="75">
        <v>5</v>
      </c>
      <c r="K48" s="76">
        <v>6</v>
      </c>
      <c r="L48" s="77">
        <v>7</v>
      </c>
      <c r="M48" s="78">
        <v>8</v>
      </c>
      <c r="N48" s="79">
        <v>9</v>
      </c>
      <c r="O48" s="80">
        <v>10</v>
      </c>
      <c r="P48" s="32" t="s">
        <v>0</v>
      </c>
      <c r="Q48" s="139"/>
      <c r="R48" s="334"/>
      <c r="S48" s="133">
        <f>VLOOKUP($E48,R.VL_DEQResourcesInvolved,2,FALSE)</f>
        <v>0</v>
      </c>
      <c r="T48" s="121">
        <f>VLOOKUP($E48,R.VL_DEQResourcesInvolved,3,FALSE)</f>
        <v>0</v>
      </c>
      <c r="U48" s="121">
        <f>IF(S48=10,T48,VLOOKUP($E48,R.VL_DEQResourcesInvolved,4,FALSE))</f>
        <v>0</v>
      </c>
      <c r="V48" s="64"/>
      <c r="W48" s="64"/>
      <c r="X48" s="64"/>
      <c r="Y48" s="64"/>
      <c r="Z48" s="64"/>
      <c r="AA48" s="64"/>
      <c r="AB48" s="64"/>
      <c r="AC48" s="64"/>
      <c r="AD48" s="130"/>
      <c r="AE48" s="130"/>
      <c r="AF48" s="130"/>
      <c r="AG48" s="130"/>
    </row>
    <row r="49" spans="1:33" s="28" customFormat="1" ht="15.75" hidden="1" customHeight="1" outlineLevel="1">
      <c r="A49" s="117"/>
      <c r="B49" s="334"/>
      <c r="C49" s="138"/>
      <c r="D49" s="36" t="s">
        <v>0</v>
      </c>
      <c r="E49" s="30" t="s">
        <v>229</v>
      </c>
      <c r="F49" s="71">
        <v>1</v>
      </c>
      <c r="G49" s="72">
        <v>2</v>
      </c>
      <c r="H49" s="73">
        <v>3</v>
      </c>
      <c r="I49" s="74">
        <v>4</v>
      </c>
      <c r="J49" s="75">
        <v>5</v>
      </c>
      <c r="K49" s="76">
        <v>6</v>
      </c>
      <c r="L49" s="77">
        <v>7</v>
      </c>
      <c r="M49" s="78">
        <v>8</v>
      </c>
      <c r="N49" s="79">
        <v>9</v>
      </c>
      <c r="O49" s="80">
        <v>10</v>
      </c>
      <c r="P49" s="32" t="s">
        <v>0</v>
      </c>
      <c r="Q49" s="139"/>
      <c r="R49" s="334"/>
      <c r="S49" s="133">
        <f>VLOOKUP($E49,R.VL_DEQResourcesInvolved,2,FALSE)</f>
        <v>0</v>
      </c>
      <c r="T49" s="121">
        <f>VLOOKUP($E49,R.VL_DEQResourcesInvolved,3,FALSE)</f>
        <v>0</v>
      </c>
      <c r="U49" s="121">
        <f>IF(S49=10,T49,VLOOKUP($E49,R.VL_DEQResourcesInvolved,4,FALSE))</f>
        <v>0</v>
      </c>
      <c r="V49" s="64"/>
      <c r="W49" s="64"/>
      <c r="X49" s="64"/>
      <c r="Y49" s="64"/>
      <c r="Z49" s="64"/>
      <c r="AA49" s="64"/>
      <c r="AB49" s="64"/>
      <c r="AC49" s="64"/>
      <c r="AD49" s="130"/>
      <c r="AE49" s="130"/>
      <c r="AF49" s="130"/>
      <c r="AG49" s="130"/>
    </row>
    <row r="50" spans="1:33" s="28" customFormat="1" ht="15.75" hidden="1" customHeight="1" outlineLevel="1">
      <c r="A50" s="117"/>
      <c r="B50" s="334"/>
      <c r="C50" s="138"/>
      <c r="D50" s="36" t="s">
        <v>0</v>
      </c>
      <c r="E50" s="30" t="s">
        <v>229</v>
      </c>
      <c r="F50" s="71">
        <v>1</v>
      </c>
      <c r="G50" s="72">
        <v>2</v>
      </c>
      <c r="H50" s="73">
        <v>3</v>
      </c>
      <c r="I50" s="74">
        <v>4</v>
      </c>
      <c r="J50" s="75">
        <v>5</v>
      </c>
      <c r="K50" s="76">
        <v>6</v>
      </c>
      <c r="L50" s="77">
        <v>7</v>
      </c>
      <c r="M50" s="78">
        <v>8</v>
      </c>
      <c r="N50" s="79">
        <v>9</v>
      </c>
      <c r="O50" s="80">
        <v>10</v>
      </c>
      <c r="P50" s="32" t="s">
        <v>0</v>
      </c>
      <c r="Q50" s="139"/>
      <c r="R50" s="334"/>
      <c r="S50" s="133">
        <f>VLOOKUP($E50,R.VL_DEQResourcesInvolved,2,FALSE)</f>
        <v>0</v>
      </c>
      <c r="T50" s="121">
        <f>VLOOKUP($E50,R.VL_DEQResourcesInvolved,3,FALSE)</f>
        <v>0</v>
      </c>
      <c r="U50" s="121">
        <f>IF(S50=10,T50,VLOOKUP($E50,R.VL_DEQResourcesInvolved,4,FALSE))</f>
        <v>0</v>
      </c>
      <c r="V50" s="64"/>
      <c r="W50" s="64"/>
      <c r="X50" s="64"/>
      <c r="Y50" s="64"/>
      <c r="Z50" s="64"/>
      <c r="AA50" s="64"/>
      <c r="AB50" s="64"/>
      <c r="AC50" s="64"/>
      <c r="AD50" s="130"/>
      <c r="AE50" s="130"/>
      <c r="AF50" s="130"/>
      <c r="AG50" s="130"/>
    </row>
    <row r="51" spans="1:33" s="28" customFormat="1" ht="15.75" customHeight="1" collapsed="1">
      <c r="A51" s="117"/>
      <c r="B51" s="334"/>
      <c r="C51" s="245"/>
      <c r="D51" s="442" t="s">
        <v>52</v>
      </c>
      <c r="E51" s="31"/>
      <c r="F51" s="31"/>
      <c r="G51" s="31"/>
      <c r="H51" s="31"/>
      <c r="I51" s="31"/>
      <c r="J51" s="31"/>
      <c r="K51" s="31"/>
      <c r="L51" s="31"/>
      <c r="M51" s="31"/>
      <c r="N51" s="31"/>
      <c r="O51" s="31"/>
      <c r="P51" s="31"/>
      <c r="Q51" s="143"/>
      <c r="R51" s="334"/>
      <c r="S51" s="228"/>
      <c r="T51" s="229"/>
      <c r="U51" s="229"/>
      <c r="V51" s="236"/>
      <c r="W51" s="236"/>
      <c r="X51" s="236"/>
      <c r="Y51" s="236"/>
      <c r="Z51" s="236"/>
      <c r="AA51" s="236"/>
      <c r="AB51" s="236"/>
      <c r="AC51" s="236"/>
      <c r="AD51" s="130"/>
      <c r="AE51" s="130"/>
      <c r="AF51" s="130"/>
      <c r="AG51" s="130"/>
    </row>
    <row r="52" spans="1:33" s="28" customFormat="1" ht="15.75" customHeight="1">
      <c r="A52" s="117"/>
      <c r="B52" s="334"/>
      <c r="C52" s="138"/>
      <c r="D52" s="734"/>
      <c r="E52" s="735"/>
      <c r="F52" s="735"/>
      <c r="G52" s="735"/>
      <c r="H52" s="735"/>
      <c r="I52" s="735"/>
      <c r="J52" s="735"/>
      <c r="K52" s="735"/>
      <c r="L52" s="735"/>
      <c r="M52" s="735"/>
      <c r="N52" s="735"/>
      <c r="O52" s="735"/>
      <c r="P52" s="736"/>
      <c r="Q52" s="139"/>
      <c r="R52" s="334"/>
      <c r="S52" s="132" t="s">
        <v>0</v>
      </c>
      <c r="T52" s="131"/>
      <c r="U52" s="131"/>
      <c r="V52" s="64"/>
      <c r="W52" s="64"/>
      <c r="X52" s="64"/>
      <c r="Y52" s="64"/>
      <c r="Z52" s="64"/>
      <c r="AA52" s="64"/>
      <c r="AB52" s="64"/>
      <c r="AC52" s="64"/>
      <c r="AD52" s="130"/>
      <c r="AE52" s="130"/>
      <c r="AF52" s="130"/>
      <c r="AG52" s="130"/>
    </row>
    <row r="53" spans="1:33" s="33" customFormat="1" ht="15.75" customHeight="1">
      <c r="A53" s="116"/>
      <c r="B53" s="334"/>
      <c r="C53" s="232"/>
      <c r="D53" s="442" t="s">
        <v>60</v>
      </c>
      <c r="E53" s="292" t="s">
        <v>18</v>
      </c>
      <c r="F53" s="749" t="s">
        <v>19</v>
      </c>
      <c r="G53" s="749"/>
      <c r="H53" s="749"/>
      <c r="I53" s="749"/>
      <c r="J53" s="749"/>
      <c r="K53" s="749"/>
      <c r="L53" s="749"/>
      <c r="M53" s="749"/>
      <c r="N53" s="749"/>
      <c r="O53" s="749"/>
      <c r="P53" s="292" t="s">
        <v>20</v>
      </c>
      <c r="Q53" s="137"/>
      <c r="R53" s="334"/>
      <c r="S53" s="228"/>
      <c r="T53" s="229"/>
      <c r="U53" s="229"/>
      <c r="V53" s="230"/>
      <c r="W53" s="230"/>
      <c r="X53" s="230"/>
      <c r="Y53" s="230"/>
      <c r="Z53" s="230"/>
      <c r="AA53" s="230"/>
      <c r="AB53" s="230"/>
      <c r="AC53" s="230"/>
      <c r="AD53" s="127"/>
      <c r="AE53" s="127"/>
      <c r="AF53" s="127"/>
      <c r="AG53" s="127"/>
    </row>
    <row r="54" spans="1:33" s="28" customFormat="1" ht="15.75" customHeight="1">
      <c r="A54" s="117"/>
      <c r="B54" s="334"/>
      <c r="C54" s="138"/>
      <c r="D54" s="36" t="s">
        <v>0</v>
      </c>
      <c r="E54" s="30" t="s">
        <v>229</v>
      </c>
      <c r="F54" s="71">
        <v>1</v>
      </c>
      <c r="G54" s="72">
        <v>2</v>
      </c>
      <c r="H54" s="73">
        <v>3</v>
      </c>
      <c r="I54" s="74">
        <v>4</v>
      </c>
      <c r="J54" s="75">
        <v>5</v>
      </c>
      <c r="K54" s="76">
        <v>6</v>
      </c>
      <c r="L54" s="77">
        <v>7</v>
      </c>
      <c r="M54" s="78">
        <v>8</v>
      </c>
      <c r="N54" s="79">
        <v>9</v>
      </c>
      <c r="O54" s="80">
        <v>10</v>
      </c>
      <c r="P54" s="32" t="s">
        <v>0</v>
      </c>
      <c r="Q54" s="139"/>
      <c r="R54" s="334"/>
      <c r="S54" s="133">
        <f>VLOOKUP($E54,R.VL_DEQResourcesInvolved,2,FALSE)</f>
        <v>0</v>
      </c>
      <c r="T54" s="121">
        <f>VLOOKUP($E54,R.VL_DEQResourcesInvolved,3,FALSE)</f>
        <v>0</v>
      </c>
      <c r="U54" s="121">
        <f>IF(S54=10,T54,VLOOKUP($E54,R.VL_DEQResourcesInvolved,4,FALSE))</f>
        <v>0</v>
      </c>
      <c r="V54" s="575" t="s">
        <v>554</v>
      </c>
      <c r="W54" s="64"/>
      <c r="X54" s="64"/>
      <c r="Y54" s="64"/>
      <c r="Z54" s="64"/>
      <c r="AA54" s="64"/>
      <c r="AB54" s="64"/>
      <c r="AC54" s="64"/>
      <c r="AD54" s="130"/>
      <c r="AE54" s="130"/>
      <c r="AF54" s="130"/>
      <c r="AG54" s="130"/>
    </row>
    <row r="55" spans="1:33" s="28" customFormat="1" ht="15.75" hidden="1" customHeight="1" outlineLevel="1">
      <c r="A55" s="117"/>
      <c r="B55" s="334"/>
      <c r="C55" s="138"/>
      <c r="D55" s="36" t="s">
        <v>0</v>
      </c>
      <c r="E55" s="30" t="s">
        <v>229</v>
      </c>
      <c r="F55" s="71">
        <v>1</v>
      </c>
      <c r="G55" s="72">
        <v>2</v>
      </c>
      <c r="H55" s="73">
        <v>3</v>
      </c>
      <c r="I55" s="74">
        <v>4</v>
      </c>
      <c r="J55" s="75">
        <v>5</v>
      </c>
      <c r="K55" s="76">
        <v>6</v>
      </c>
      <c r="L55" s="77">
        <v>7</v>
      </c>
      <c r="M55" s="78">
        <v>8</v>
      </c>
      <c r="N55" s="79">
        <v>9</v>
      </c>
      <c r="O55" s="80">
        <v>10</v>
      </c>
      <c r="P55" s="32" t="s">
        <v>0</v>
      </c>
      <c r="Q55" s="139"/>
      <c r="R55" s="334"/>
      <c r="S55" s="133">
        <f>VLOOKUP($E55,R.VL_DEQResourcesInvolved,2,FALSE)</f>
        <v>0</v>
      </c>
      <c r="T55" s="121">
        <f>VLOOKUP($E55,R.VL_DEQResourcesInvolved,3,FALSE)</f>
        <v>0</v>
      </c>
      <c r="U55" s="121">
        <f>IF(S55=10,T55,VLOOKUP($E55,R.VL_DEQResourcesInvolved,4,FALSE))</f>
        <v>0</v>
      </c>
      <c r="V55" s="64"/>
      <c r="W55" s="64"/>
      <c r="X55" s="64"/>
      <c r="Y55" s="64"/>
      <c r="Z55" s="64"/>
      <c r="AA55" s="64"/>
      <c r="AB55" s="64"/>
      <c r="AC55" s="64"/>
      <c r="AD55" s="130"/>
      <c r="AE55" s="130"/>
      <c r="AF55" s="130"/>
      <c r="AG55" s="130"/>
    </row>
    <row r="56" spans="1:33" s="28" customFormat="1" ht="15.75" hidden="1" customHeight="1" outlineLevel="1">
      <c r="A56" s="117"/>
      <c r="B56" s="334"/>
      <c r="C56" s="138"/>
      <c r="D56" s="36" t="s">
        <v>0</v>
      </c>
      <c r="E56" s="30" t="s">
        <v>229</v>
      </c>
      <c r="F56" s="71">
        <v>1</v>
      </c>
      <c r="G56" s="72">
        <v>2</v>
      </c>
      <c r="H56" s="73">
        <v>3</v>
      </c>
      <c r="I56" s="74">
        <v>4</v>
      </c>
      <c r="J56" s="75">
        <v>5</v>
      </c>
      <c r="K56" s="76">
        <v>6</v>
      </c>
      <c r="L56" s="77">
        <v>7</v>
      </c>
      <c r="M56" s="78">
        <v>8</v>
      </c>
      <c r="N56" s="79">
        <v>9</v>
      </c>
      <c r="O56" s="80">
        <v>10</v>
      </c>
      <c r="P56" s="32" t="s">
        <v>0</v>
      </c>
      <c r="Q56" s="139"/>
      <c r="R56" s="334"/>
      <c r="S56" s="133">
        <f>VLOOKUP($E56,R.VL_DEQResourcesInvolved,2,FALSE)</f>
        <v>0</v>
      </c>
      <c r="T56" s="121">
        <f>VLOOKUP($E56,R.VL_DEQResourcesInvolved,3,FALSE)</f>
        <v>0</v>
      </c>
      <c r="U56" s="121">
        <f>IF(S56=10,T56,VLOOKUP($E56,R.VL_DEQResourcesInvolved,4,FALSE))</f>
        <v>0</v>
      </c>
      <c r="V56" s="64"/>
      <c r="W56" s="64"/>
      <c r="X56" s="64"/>
      <c r="Y56" s="64"/>
      <c r="Z56" s="64"/>
      <c r="AA56" s="64"/>
      <c r="AB56" s="64"/>
      <c r="AC56" s="64"/>
      <c r="AD56" s="130"/>
      <c r="AE56" s="130"/>
      <c r="AF56" s="130"/>
      <c r="AG56" s="130"/>
    </row>
    <row r="57" spans="1:33" s="28" customFormat="1" ht="15.75" hidden="1" customHeight="1" outlineLevel="1">
      <c r="A57" s="117"/>
      <c r="B57" s="334"/>
      <c r="C57" s="138"/>
      <c r="D57" s="36" t="s">
        <v>0</v>
      </c>
      <c r="E57" s="30" t="s">
        <v>229</v>
      </c>
      <c r="F57" s="71">
        <v>1</v>
      </c>
      <c r="G57" s="72">
        <v>2</v>
      </c>
      <c r="H57" s="73">
        <v>3</v>
      </c>
      <c r="I57" s="74">
        <v>4</v>
      </c>
      <c r="J57" s="75">
        <v>5</v>
      </c>
      <c r="K57" s="76">
        <v>6</v>
      </c>
      <c r="L57" s="77">
        <v>7</v>
      </c>
      <c r="M57" s="78">
        <v>8</v>
      </c>
      <c r="N57" s="79">
        <v>9</v>
      </c>
      <c r="O57" s="80">
        <v>10</v>
      </c>
      <c r="P57" s="32" t="s">
        <v>0</v>
      </c>
      <c r="Q57" s="139"/>
      <c r="R57" s="334"/>
      <c r="S57" s="133">
        <f>VLOOKUP($E57,R.VL_DEQResourcesInvolved,2,FALSE)</f>
        <v>0</v>
      </c>
      <c r="T57" s="121">
        <f>VLOOKUP($E57,R.VL_DEQResourcesInvolved,3,FALSE)</f>
        <v>0</v>
      </c>
      <c r="U57" s="121">
        <f>IF(S57=10,T57,VLOOKUP($E57,R.VL_DEQResourcesInvolved,4,FALSE))</f>
        <v>0</v>
      </c>
      <c r="V57" s="64"/>
      <c r="W57" s="64"/>
      <c r="X57" s="64"/>
      <c r="Y57" s="64"/>
      <c r="Z57" s="64"/>
      <c r="AA57" s="64"/>
      <c r="AB57" s="64"/>
      <c r="AC57" s="64"/>
      <c r="AD57" s="130"/>
      <c r="AE57" s="130"/>
      <c r="AF57" s="130"/>
      <c r="AG57" s="130"/>
    </row>
    <row r="58" spans="1:33" s="28" customFormat="1" ht="14.25" customHeight="1" collapsed="1">
      <c r="A58" s="117"/>
      <c r="B58" s="334"/>
      <c r="C58" s="376"/>
      <c r="D58" s="481"/>
      <c r="E58" s="739"/>
      <c r="F58" s="739"/>
      <c r="G58" s="739"/>
      <c r="H58" s="739"/>
      <c r="I58" s="739"/>
      <c r="J58" s="739"/>
      <c r="K58" s="739"/>
      <c r="L58" s="739"/>
      <c r="M58" s="739"/>
      <c r="N58" s="739"/>
      <c r="O58" s="739"/>
      <c r="P58" s="739"/>
      <c r="Q58" s="379"/>
      <c r="R58" s="334"/>
      <c r="S58" s="132"/>
      <c r="T58" s="131"/>
      <c r="U58" s="131"/>
      <c r="V58" s="64"/>
      <c r="W58" s="64"/>
      <c r="X58" s="64"/>
      <c r="Y58" s="64"/>
      <c r="Z58" s="64"/>
      <c r="AA58" s="64"/>
      <c r="AB58" s="64"/>
      <c r="AC58" s="64"/>
      <c r="AD58" s="130"/>
      <c r="AE58" s="130"/>
      <c r="AF58" s="130"/>
      <c r="AG58" s="130"/>
    </row>
    <row r="59" spans="1:33" s="33" customFormat="1" ht="30" customHeight="1">
      <c r="A59" s="350" t="s">
        <v>115</v>
      </c>
      <c r="B59" s="334"/>
      <c r="C59" s="136"/>
      <c r="D59" s="304" t="s">
        <v>133</v>
      </c>
      <c r="E59" s="302"/>
      <c r="F59" s="94"/>
      <c r="G59" s="94"/>
      <c r="H59" s="94"/>
      <c r="I59" s="94"/>
      <c r="J59" s="94"/>
      <c r="K59" s="94"/>
      <c r="L59" s="94"/>
      <c r="M59" s="94"/>
      <c r="N59" s="94"/>
      <c r="O59" s="94"/>
      <c r="P59" s="94"/>
      <c r="Q59" s="137"/>
      <c r="R59" s="334"/>
      <c r="S59" s="134"/>
      <c r="T59" s="131"/>
      <c r="U59" s="131"/>
      <c r="V59" s="129"/>
      <c r="W59" s="129"/>
      <c r="X59" s="129"/>
      <c r="Y59" s="129"/>
      <c r="Z59" s="129"/>
      <c r="AA59" s="129"/>
      <c r="AB59" s="129"/>
      <c r="AC59" s="129"/>
      <c r="AD59" s="127"/>
      <c r="AE59" s="127"/>
      <c r="AF59" s="127"/>
      <c r="AG59" s="127"/>
    </row>
    <row r="60" spans="1:33" s="33" customFormat="1" ht="14.25" customHeight="1">
      <c r="A60" s="116"/>
      <c r="B60" s="334"/>
      <c r="C60" s="136"/>
      <c r="D60" s="443" t="s">
        <v>53</v>
      </c>
      <c r="E60" s="94"/>
      <c r="F60" s="94"/>
      <c r="G60" s="94"/>
      <c r="H60" s="94"/>
      <c r="I60" s="94"/>
      <c r="J60" s="94"/>
      <c r="K60" s="94"/>
      <c r="L60" s="94"/>
      <c r="M60" s="94"/>
      <c r="N60" s="94"/>
      <c r="O60" s="94"/>
      <c r="P60" s="94"/>
      <c r="Q60" s="137"/>
      <c r="R60" s="334"/>
      <c r="S60" s="134"/>
      <c r="T60" s="131"/>
      <c r="U60" s="131"/>
      <c r="V60" s="129"/>
      <c r="W60" s="129"/>
      <c r="X60" s="129"/>
      <c r="Y60" s="129"/>
      <c r="Z60" s="129"/>
      <c r="AA60" s="129"/>
      <c r="AB60" s="129"/>
      <c r="AC60" s="129"/>
      <c r="AD60" s="127"/>
      <c r="AE60" s="127"/>
      <c r="AF60" s="127"/>
      <c r="AG60" s="127"/>
    </row>
    <row r="61" spans="1:33" s="28" customFormat="1" ht="15.75" customHeight="1">
      <c r="A61" s="117"/>
      <c r="B61" s="334"/>
      <c r="C61" s="138"/>
      <c r="D61" s="751"/>
      <c r="E61" s="752"/>
      <c r="F61" s="752"/>
      <c r="G61" s="752"/>
      <c r="H61" s="752"/>
      <c r="I61" s="752"/>
      <c r="J61" s="752"/>
      <c r="K61" s="752"/>
      <c r="L61" s="752"/>
      <c r="M61" s="752"/>
      <c r="N61" s="752"/>
      <c r="O61" s="752"/>
      <c r="P61" s="753"/>
      <c r="Q61" s="139"/>
      <c r="R61" s="334"/>
      <c r="S61" s="132" t="s">
        <v>0</v>
      </c>
      <c r="T61" s="131"/>
      <c r="U61" s="131"/>
      <c r="V61" s="64"/>
      <c r="W61" s="64"/>
      <c r="X61" s="64"/>
      <c r="Y61" s="64"/>
      <c r="Z61" s="64"/>
      <c r="AA61" s="64"/>
      <c r="AB61" s="64"/>
      <c r="AC61" s="64"/>
      <c r="AD61" s="130"/>
      <c r="AE61" s="130"/>
      <c r="AF61" s="130"/>
      <c r="AG61" s="130"/>
    </row>
    <row r="62" spans="1:33" s="33" customFormat="1" ht="15.75" customHeight="1">
      <c r="A62" s="116"/>
      <c r="B62" s="334"/>
      <c r="C62" s="232"/>
      <c r="D62" s="442" t="s">
        <v>60</v>
      </c>
      <c r="E62" s="292" t="s">
        <v>18</v>
      </c>
      <c r="F62" s="749" t="s">
        <v>19</v>
      </c>
      <c r="G62" s="749"/>
      <c r="H62" s="749"/>
      <c r="I62" s="749"/>
      <c r="J62" s="749"/>
      <c r="K62" s="749"/>
      <c r="L62" s="749"/>
      <c r="M62" s="749"/>
      <c r="N62" s="749"/>
      <c r="O62" s="749"/>
      <c r="P62" s="292" t="s">
        <v>20</v>
      </c>
      <c r="Q62" s="137"/>
      <c r="R62" s="334"/>
      <c r="S62" s="228"/>
      <c r="T62" s="229"/>
      <c r="U62" s="229"/>
      <c r="V62" s="230"/>
      <c r="W62" s="230"/>
      <c r="X62" s="230"/>
      <c r="Y62" s="230"/>
      <c r="Z62" s="230"/>
      <c r="AA62" s="230"/>
      <c r="AB62" s="230"/>
      <c r="AC62" s="230"/>
      <c r="AD62" s="127"/>
      <c r="AE62" s="127"/>
      <c r="AF62" s="127"/>
      <c r="AG62" s="127"/>
    </row>
    <row r="63" spans="1:33" s="28" customFormat="1" ht="15.75" customHeight="1">
      <c r="A63" s="117"/>
      <c r="B63" s="334"/>
      <c r="C63" s="138"/>
      <c r="D63" s="36"/>
      <c r="E63" s="30" t="s">
        <v>229</v>
      </c>
      <c r="F63" s="71">
        <v>1</v>
      </c>
      <c r="G63" s="72">
        <v>2</v>
      </c>
      <c r="H63" s="73">
        <v>3</v>
      </c>
      <c r="I63" s="74">
        <v>4</v>
      </c>
      <c r="J63" s="75">
        <v>5</v>
      </c>
      <c r="K63" s="76">
        <v>6</v>
      </c>
      <c r="L63" s="77">
        <v>7</v>
      </c>
      <c r="M63" s="78">
        <v>8</v>
      </c>
      <c r="N63" s="79">
        <v>9</v>
      </c>
      <c r="O63" s="80">
        <v>10</v>
      </c>
      <c r="P63" s="32"/>
      <c r="Q63" s="139"/>
      <c r="R63" s="334"/>
      <c r="S63" s="133">
        <f>VLOOKUP($E63,R.VL_DEQResourcesInvolved,2,FALSE)</f>
        <v>0</v>
      </c>
      <c r="T63" s="121">
        <f>VLOOKUP($E63,R.VL_DEQResourcesInvolved,3,FALSE)</f>
        <v>0</v>
      </c>
      <c r="U63" s="121">
        <f>IF(S63=10,T63,VLOOKUP($E63,R.VL_DEQResourcesInvolved,4,FALSE))</f>
        <v>0</v>
      </c>
      <c r="V63" s="575" t="s">
        <v>554</v>
      </c>
      <c r="W63" s="64"/>
      <c r="X63" s="64"/>
      <c r="Y63" s="64"/>
      <c r="Z63" s="64"/>
      <c r="AA63" s="64"/>
      <c r="AB63" s="64"/>
      <c r="AC63" s="64"/>
      <c r="AD63" s="130"/>
      <c r="AE63" s="130"/>
      <c r="AF63" s="130"/>
      <c r="AG63" s="130"/>
    </row>
    <row r="64" spans="1:33" s="28" customFormat="1" ht="15.75" hidden="1" customHeight="1" outlineLevel="1">
      <c r="A64" s="117"/>
      <c r="B64" s="334"/>
      <c r="C64" s="138"/>
      <c r="D64" s="36" t="s">
        <v>0</v>
      </c>
      <c r="E64" s="30" t="s">
        <v>229</v>
      </c>
      <c r="F64" s="71">
        <v>1</v>
      </c>
      <c r="G64" s="72">
        <v>2</v>
      </c>
      <c r="H64" s="73">
        <v>3</v>
      </c>
      <c r="I64" s="74">
        <v>4</v>
      </c>
      <c r="J64" s="75">
        <v>5</v>
      </c>
      <c r="K64" s="76">
        <v>6</v>
      </c>
      <c r="L64" s="77">
        <v>7</v>
      </c>
      <c r="M64" s="78">
        <v>8</v>
      </c>
      <c r="N64" s="79">
        <v>9</v>
      </c>
      <c r="O64" s="80">
        <v>10</v>
      </c>
      <c r="P64" s="32" t="s">
        <v>0</v>
      </c>
      <c r="Q64" s="139"/>
      <c r="R64" s="334"/>
      <c r="S64" s="133">
        <f>VLOOKUP($E64,R.VL_DEQResourcesInvolved,2,FALSE)</f>
        <v>0</v>
      </c>
      <c r="T64" s="121">
        <f>VLOOKUP($E64,R.VL_DEQResourcesInvolved,3,FALSE)</f>
        <v>0</v>
      </c>
      <c r="U64" s="121">
        <f>IF(S64=10,T64,VLOOKUP($E64,R.VL_DEQResourcesInvolved,4,FALSE))</f>
        <v>0</v>
      </c>
      <c r="V64" s="64"/>
      <c r="W64" s="64"/>
      <c r="X64" s="64"/>
      <c r="Y64" s="64"/>
      <c r="Z64" s="64"/>
      <c r="AA64" s="64"/>
      <c r="AB64" s="64"/>
      <c r="AC64" s="64"/>
      <c r="AD64" s="130"/>
      <c r="AE64" s="130"/>
      <c r="AF64" s="130"/>
      <c r="AG64" s="130"/>
    </row>
    <row r="65" spans="1:33" s="28" customFormat="1" ht="15.75" hidden="1" customHeight="1" outlineLevel="1">
      <c r="A65" s="117"/>
      <c r="B65" s="334"/>
      <c r="C65" s="138"/>
      <c r="D65" s="36" t="s">
        <v>0</v>
      </c>
      <c r="E65" s="30" t="s">
        <v>229</v>
      </c>
      <c r="F65" s="71">
        <v>1</v>
      </c>
      <c r="G65" s="72">
        <v>2</v>
      </c>
      <c r="H65" s="73">
        <v>3</v>
      </c>
      <c r="I65" s="74">
        <v>4</v>
      </c>
      <c r="J65" s="75">
        <v>5</v>
      </c>
      <c r="K65" s="76">
        <v>6</v>
      </c>
      <c r="L65" s="77">
        <v>7</v>
      </c>
      <c r="M65" s="78">
        <v>8</v>
      </c>
      <c r="N65" s="79">
        <v>9</v>
      </c>
      <c r="O65" s="80">
        <v>10</v>
      </c>
      <c r="P65" s="32" t="s">
        <v>0</v>
      </c>
      <c r="Q65" s="139"/>
      <c r="R65" s="334"/>
      <c r="S65" s="133">
        <f>VLOOKUP($E65,R.VL_DEQResourcesInvolved,2,FALSE)</f>
        <v>0</v>
      </c>
      <c r="T65" s="121">
        <f>VLOOKUP($E65,R.VL_DEQResourcesInvolved,3,FALSE)</f>
        <v>0</v>
      </c>
      <c r="U65" s="121">
        <f>IF(S65=10,T65,VLOOKUP($E65,R.VL_DEQResourcesInvolved,4,FALSE))</f>
        <v>0</v>
      </c>
      <c r="V65" s="64"/>
      <c r="W65" s="64"/>
      <c r="X65" s="64"/>
      <c r="Y65" s="64"/>
      <c r="Z65" s="64"/>
      <c r="AA65" s="64"/>
      <c r="AB65" s="64"/>
      <c r="AC65" s="64"/>
      <c r="AD65" s="130"/>
      <c r="AE65" s="130"/>
      <c r="AF65" s="130"/>
      <c r="AG65" s="130"/>
    </row>
    <row r="66" spans="1:33" s="28" customFormat="1" ht="15.75" hidden="1" customHeight="1" outlineLevel="1">
      <c r="A66" s="117"/>
      <c r="B66" s="334"/>
      <c r="C66" s="138"/>
      <c r="D66" s="36" t="s">
        <v>0</v>
      </c>
      <c r="E66" s="30" t="s">
        <v>229</v>
      </c>
      <c r="F66" s="71">
        <v>1</v>
      </c>
      <c r="G66" s="72">
        <v>2</v>
      </c>
      <c r="H66" s="73">
        <v>3</v>
      </c>
      <c r="I66" s="74">
        <v>4</v>
      </c>
      <c r="J66" s="75">
        <v>5</v>
      </c>
      <c r="K66" s="76">
        <v>6</v>
      </c>
      <c r="L66" s="77">
        <v>7</v>
      </c>
      <c r="M66" s="78">
        <v>8</v>
      </c>
      <c r="N66" s="79">
        <v>9</v>
      </c>
      <c r="O66" s="80">
        <v>10</v>
      </c>
      <c r="P66" s="32" t="s">
        <v>0</v>
      </c>
      <c r="Q66" s="139"/>
      <c r="R66" s="334"/>
      <c r="S66" s="133">
        <f>VLOOKUP($E66,R.VL_DEQResourcesInvolved,2,FALSE)</f>
        <v>0</v>
      </c>
      <c r="T66" s="121">
        <f>VLOOKUP($E66,R.VL_DEQResourcesInvolved,3,FALSE)</f>
        <v>0</v>
      </c>
      <c r="U66" s="121">
        <f>IF(S66=10,T66,VLOOKUP($E66,R.VL_DEQResourcesInvolved,4,FALSE))</f>
        <v>0</v>
      </c>
      <c r="V66" s="64"/>
      <c r="W66" s="64"/>
      <c r="X66" s="64"/>
      <c r="Y66" s="64"/>
      <c r="Z66" s="64"/>
      <c r="AA66" s="64"/>
      <c r="AB66" s="64"/>
      <c r="AC66" s="64"/>
      <c r="AD66" s="130"/>
      <c r="AE66" s="130"/>
      <c r="AF66" s="130"/>
      <c r="AG66" s="130"/>
    </row>
    <row r="67" spans="1:33" s="28" customFormat="1" ht="15.75" customHeight="1" collapsed="1">
      <c r="A67" s="117"/>
      <c r="B67" s="334"/>
      <c r="C67" s="245"/>
      <c r="D67" s="443" t="s">
        <v>52</v>
      </c>
      <c r="E67" s="31"/>
      <c r="F67" s="31"/>
      <c r="G67" s="31"/>
      <c r="H67" s="31"/>
      <c r="I67" s="31"/>
      <c r="J67" s="31"/>
      <c r="K67" s="31"/>
      <c r="L67" s="31"/>
      <c r="M67" s="31"/>
      <c r="N67" s="31"/>
      <c r="O67" s="31"/>
      <c r="P67" s="31"/>
      <c r="Q67" s="143"/>
      <c r="R67" s="334"/>
      <c r="S67" s="228"/>
      <c r="T67" s="229"/>
      <c r="U67" s="229"/>
      <c r="V67" s="236"/>
      <c r="W67" s="236"/>
      <c r="X67" s="236"/>
      <c r="Y67" s="236"/>
      <c r="Z67" s="236"/>
      <c r="AA67" s="236"/>
      <c r="AB67" s="236"/>
      <c r="AC67" s="236"/>
      <c r="AD67" s="130"/>
      <c r="AE67" s="130"/>
      <c r="AF67" s="130"/>
      <c r="AG67" s="130"/>
    </row>
    <row r="68" spans="1:33" s="28" customFormat="1" ht="15.75" customHeight="1">
      <c r="A68" s="117"/>
      <c r="B68" s="334"/>
      <c r="C68" s="138"/>
      <c r="D68" s="724"/>
      <c r="E68" s="725"/>
      <c r="F68" s="725"/>
      <c r="G68" s="725"/>
      <c r="H68" s="725"/>
      <c r="I68" s="725"/>
      <c r="J68" s="725"/>
      <c r="K68" s="725"/>
      <c r="L68" s="725"/>
      <c r="M68" s="725"/>
      <c r="N68" s="725"/>
      <c r="O68" s="725"/>
      <c r="P68" s="726"/>
      <c r="Q68" s="139"/>
      <c r="R68" s="334"/>
      <c r="S68" s="132" t="s">
        <v>0</v>
      </c>
      <c r="T68" s="131"/>
      <c r="U68" s="131"/>
      <c r="V68" s="64"/>
      <c r="W68" s="64"/>
      <c r="X68" s="64"/>
      <c r="Y68" s="64"/>
      <c r="Z68" s="64"/>
      <c r="AA68" s="64"/>
      <c r="AB68" s="64"/>
      <c r="AC68" s="64"/>
      <c r="AD68" s="130"/>
      <c r="AE68" s="130"/>
      <c r="AF68" s="130"/>
      <c r="AG68" s="130"/>
    </row>
    <row r="69" spans="1:33" s="33" customFormat="1" ht="15.75" customHeight="1">
      <c r="A69" s="116"/>
      <c r="B69" s="334"/>
      <c r="C69" s="232"/>
      <c r="D69" s="442" t="s">
        <v>60</v>
      </c>
      <c r="E69" s="292" t="s">
        <v>18</v>
      </c>
      <c r="F69" s="749" t="s">
        <v>19</v>
      </c>
      <c r="G69" s="749"/>
      <c r="H69" s="749"/>
      <c r="I69" s="749"/>
      <c r="J69" s="749"/>
      <c r="K69" s="749"/>
      <c r="L69" s="749"/>
      <c r="M69" s="749"/>
      <c r="N69" s="749"/>
      <c r="O69" s="749"/>
      <c r="P69" s="292" t="s">
        <v>20</v>
      </c>
      <c r="Q69" s="137"/>
      <c r="R69" s="334"/>
      <c r="S69" s="228"/>
      <c r="T69" s="229"/>
      <c r="U69" s="229"/>
      <c r="V69" s="230"/>
      <c r="W69" s="230"/>
      <c r="X69" s="230"/>
      <c r="Y69" s="230"/>
      <c r="Z69" s="230"/>
      <c r="AA69" s="230"/>
      <c r="AB69" s="230"/>
      <c r="AC69" s="230"/>
      <c r="AD69" s="127"/>
      <c r="AE69" s="127"/>
      <c r="AF69" s="127"/>
      <c r="AG69" s="127"/>
    </row>
    <row r="70" spans="1:33" s="28" customFormat="1" ht="15.75" customHeight="1">
      <c r="A70" s="117"/>
      <c r="B70" s="334"/>
      <c r="C70" s="138"/>
      <c r="D70" s="36"/>
      <c r="E70" s="30" t="s">
        <v>229</v>
      </c>
      <c r="F70" s="71">
        <v>1</v>
      </c>
      <c r="G70" s="72">
        <v>2</v>
      </c>
      <c r="H70" s="73">
        <v>3</v>
      </c>
      <c r="I70" s="74">
        <v>4</v>
      </c>
      <c r="J70" s="75">
        <v>5</v>
      </c>
      <c r="K70" s="76">
        <v>6</v>
      </c>
      <c r="L70" s="77">
        <v>7</v>
      </c>
      <c r="M70" s="78">
        <v>8</v>
      </c>
      <c r="N70" s="79">
        <v>9</v>
      </c>
      <c r="O70" s="80">
        <v>10</v>
      </c>
      <c r="P70" s="32"/>
      <c r="Q70" s="139"/>
      <c r="R70" s="334"/>
      <c r="S70" s="133">
        <f>VLOOKUP($E70,R.VL_DEQResourcesInvolved,2,FALSE)</f>
        <v>0</v>
      </c>
      <c r="T70" s="121">
        <f>VLOOKUP($E70,R.VL_DEQResourcesInvolved,3,FALSE)</f>
        <v>0</v>
      </c>
      <c r="U70" s="121">
        <f>IF(S70=10,T70,VLOOKUP($E70,R.VL_DEQResourcesInvolved,4,FALSE))</f>
        <v>0</v>
      </c>
      <c r="V70" s="575" t="s">
        <v>554</v>
      </c>
      <c r="W70" s="64"/>
      <c r="X70" s="64"/>
      <c r="Y70" s="64"/>
      <c r="Z70" s="64"/>
      <c r="AA70" s="64"/>
      <c r="AB70" s="64"/>
      <c r="AC70" s="64"/>
      <c r="AD70" s="130"/>
      <c r="AE70" s="130"/>
      <c r="AF70" s="130"/>
      <c r="AG70" s="130"/>
    </row>
    <row r="71" spans="1:33" s="28" customFormat="1" ht="15.75" hidden="1" customHeight="1" outlineLevel="1">
      <c r="A71" s="117"/>
      <c r="B71" s="334"/>
      <c r="C71" s="138"/>
      <c r="D71" s="36" t="s">
        <v>0</v>
      </c>
      <c r="E71" s="30" t="s">
        <v>229</v>
      </c>
      <c r="F71" s="71">
        <v>1</v>
      </c>
      <c r="G71" s="72">
        <v>2</v>
      </c>
      <c r="H71" s="73">
        <v>3</v>
      </c>
      <c r="I71" s="74">
        <v>4</v>
      </c>
      <c r="J71" s="75">
        <v>5</v>
      </c>
      <c r="K71" s="76">
        <v>6</v>
      </c>
      <c r="L71" s="77">
        <v>7</v>
      </c>
      <c r="M71" s="78">
        <v>8</v>
      </c>
      <c r="N71" s="79">
        <v>9</v>
      </c>
      <c r="O71" s="80">
        <v>10</v>
      </c>
      <c r="P71" s="32" t="s">
        <v>0</v>
      </c>
      <c r="Q71" s="139"/>
      <c r="R71" s="334"/>
      <c r="S71" s="133">
        <f>VLOOKUP($E71,R.VL_DEQResourcesInvolved,2,FALSE)</f>
        <v>0</v>
      </c>
      <c r="T71" s="121">
        <f>VLOOKUP($E71,R.VL_DEQResourcesInvolved,3,FALSE)</f>
        <v>0</v>
      </c>
      <c r="U71" s="121">
        <f>IF(S71=10,T71,VLOOKUP($E71,R.VL_DEQResourcesInvolved,4,FALSE))</f>
        <v>0</v>
      </c>
      <c r="V71" s="64"/>
      <c r="W71" s="64"/>
      <c r="X71" s="64"/>
      <c r="Y71" s="64"/>
      <c r="Z71" s="64"/>
      <c r="AA71" s="64"/>
      <c r="AB71" s="64"/>
      <c r="AC71" s="64"/>
      <c r="AD71" s="130"/>
      <c r="AE71" s="130"/>
      <c r="AF71" s="130"/>
      <c r="AG71" s="130"/>
    </row>
    <row r="72" spans="1:33" s="28" customFormat="1" ht="15.75" hidden="1" customHeight="1" outlineLevel="1">
      <c r="A72" s="117"/>
      <c r="B72" s="334"/>
      <c r="C72" s="138"/>
      <c r="D72" s="36" t="s">
        <v>0</v>
      </c>
      <c r="E72" s="30" t="s">
        <v>229</v>
      </c>
      <c r="F72" s="71">
        <v>1</v>
      </c>
      <c r="G72" s="72">
        <v>2</v>
      </c>
      <c r="H72" s="73">
        <v>3</v>
      </c>
      <c r="I72" s="74">
        <v>4</v>
      </c>
      <c r="J72" s="75">
        <v>5</v>
      </c>
      <c r="K72" s="76">
        <v>6</v>
      </c>
      <c r="L72" s="77">
        <v>7</v>
      </c>
      <c r="M72" s="78">
        <v>8</v>
      </c>
      <c r="N72" s="79">
        <v>9</v>
      </c>
      <c r="O72" s="80">
        <v>10</v>
      </c>
      <c r="P72" s="32" t="s">
        <v>0</v>
      </c>
      <c r="Q72" s="139"/>
      <c r="R72" s="334"/>
      <c r="S72" s="133">
        <f>VLOOKUP($E72,R.VL_DEQResourcesInvolved,2,FALSE)</f>
        <v>0</v>
      </c>
      <c r="T72" s="121">
        <f>VLOOKUP($E72,R.VL_DEQResourcesInvolved,3,FALSE)</f>
        <v>0</v>
      </c>
      <c r="U72" s="121">
        <f>IF(S72=10,T72,VLOOKUP($E72,R.VL_DEQResourcesInvolved,4,FALSE))</f>
        <v>0</v>
      </c>
      <c r="V72" s="64"/>
      <c r="W72" s="64"/>
      <c r="X72" s="64"/>
      <c r="Y72" s="64"/>
      <c r="Z72" s="64"/>
      <c r="AA72" s="64"/>
      <c r="AB72" s="64"/>
      <c r="AC72" s="64"/>
      <c r="AD72" s="130"/>
      <c r="AE72" s="130"/>
      <c r="AF72" s="130"/>
      <c r="AG72" s="130"/>
    </row>
    <row r="73" spans="1:33" s="28" customFormat="1" ht="15.75" hidden="1" customHeight="1" outlineLevel="1">
      <c r="A73" s="117"/>
      <c r="B73" s="334"/>
      <c r="C73" s="138"/>
      <c r="D73" s="36" t="s">
        <v>0</v>
      </c>
      <c r="E73" s="30" t="s">
        <v>229</v>
      </c>
      <c r="F73" s="71">
        <v>1</v>
      </c>
      <c r="G73" s="72">
        <v>2</v>
      </c>
      <c r="H73" s="73">
        <v>3</v>
      </c>
      <c r="I73" s="74">
        <v>4</v>
      </c>
      <c r="J73" s="75">
        <v>5</v>
      </c>
      <c r="K73" s="76">
        <v>6</v>
      </c>
      <c r="L73" s="77">
        <v>7</v>
      </c>
      <c r="M73" s="78">
        <v>8</v>
      </c>
      <c r="N73" s="79">
        <v>9</v>
      </c>
      <c r="O73" s="80">
        <v>10</v>
      </c>
      <c r="P73" s="32" t="s">
        <v>0</v>
      </c>
      <c r="Q73" s="139"/>
      <c r="R73" s="334"/>
      <c r="S73" s="133">
        <f>VLOOKUP($E73,R.VL_DEQResourcesInvolved,2,FALSE)</f>
        <v>0</v>
      </c>
      <c r="T73" s="121">
        <f>VLOOKUP($E73,R.VL_DEQResourcesInvolved,3,FALSE)</f>
        <v>0</v>
      </c>
      <c r="U73" s="121">
        <f>IF(S73=10,T73,VLOOKUP($E73,R.VL_DEQResourcesInvolved,4,FALSE))</f>
        <v>0</v>
      </c>
      <c r="V73" s="64"/>
      <c r="W73" s="64"/>
      <c r="X73" s="64"/>
      <c r="Y73" s="64"/>
      <c r="Z73" s="64"/>
      <c r="AA73" s="64"/>
      <c r="AB73" s="64"/>
      <c r="AC73" s="64"/>
      <c r="AD73" s="130"/>
      <c r="AE73" s="130"/>
      <c r="AF73" s="130"/>
      <c r="AG73" s="130"/>
    </row>
    <row r="74" spans="1:33" s="28" customFormat="1" collapsed="1">
      <c r="A74" s="117"/>
      <c r="B74" s="334"/>
      <c r="C74" s="376"/>
      <c r="D74" s="481"/>
      <c r="E74" s="739"/>
      <c r="F74" s="739"/>
      <c r="G74" s="739"/>
      <c r="H74" s="739"/>
      <c r="I74" s="739"/>
      <c r="J74" s="739"/>
      <c r="K74" s="739"/>
      <c r="L74" s="739"/>
      <c r="M74" s="739"/>
      <c r="N74" s="739"/>
      <c r="O74" s="739"/>
      <c r="P74" s="739"/>
      <c r="Q74" s="379"/>
      <c r="R74" s="334"/>
      <c r="S74" s="132"/>
      <c r="T74" s="131"/>
      <c r="U74" s="131"/>
      <c r="V74" s="64"/>
      <c r="W74" s="64"/>
      <c r="X74" s="64"/>
      <c r="Y74" s="64"/>
      <c r="Z74" s="64"/>
      <c r="AA74" s="64"/>
      <c r="AB74" s="64"/>
      <c r="AC74" s="64"/>
      <c r="AD74" s="130"/>
      <c r="AE74" s="130"/>
      <c r="AF74" s="130"/>
      <c r="AG74" s="130"/>
    </row>
    <row r="75" spans="1:33" s="33" customFormat="1" ht="30" customHeight="1">
      <c r="A75" s="350" t="s">
        <v>116</v>
      </c>
      <c r="B75" s="334"/>
      <c r="C75" s="392" t="s">
        <v>0</v>
      </c>
      <c r="D75" s="381" t="s">
        <v>134</v>
      </c>
      <c r="E75" s="386"/>
      <c r="F75" s="386"/>
      <c r="G75" s="386"/>
      <c r="H75" s="386"/>
      <c r="I75" s="386"/>
      <c r="J75" s="386"/>
      <c r="K75" s="386"/>
      <c r="L75" s="386"/>
      <c r="M75" s="386"/>
      <c r="N75" s="386"/>
      <c r="O75" s="386"/>
      <c r="P75" s="386"/>
      <c r="Q75" s="388"/>
      <c r="R75" s="334"/>
      <c r="S75" s="134"/>
      <c r="T75" s="131" t="s">
        <v>0</v>
      </c>
      <c r="U75" s="131"/>
      <c r="V75" s="129"/>
      <c r="W75" s="129"/>
      <c r="X75" s="129"/>
      <c r="Y75" s="129"/>
      <c r="Z75" s="129"/>
      <c r="AA75" s="129"/>
      <c r="AB75" s="129"/>
      <c r="AC75" s="129"/>
      <c r="AD75" s="127"/>
      <c r="AE75" s="127"/>
      <c r="AF75" s="127"/>
      <c r="AG75" s="127"/>
    </row>
    <row r="76" spans="1:33" s="33" customFormat="1" ht="14.25" customHeight="1">
      <c r="A76" s="116"/>
      <c r="B76" s="334"/>
      <c r="C76" s="232"/>
      <c r="D76" s="443" t="s">
        <v>53</v>
      </c>
      <c r="E76" s="94"/>
      <c r="F76" s="94"/>
      <c r="G76" s="94"/>
      <c r="H76" s="94"/>
      <c r="I76" s="94"/>
      <c r="J76" s="94"/>
      <c r="K76" s="94"/>
      <c r="L76" s="94"/>
      <c r="M76" s="94"/>
      <c r="N76" s="94"/>
      <c r="O76" s="94"/>
      <c r="P76" s="94"/>
      <c r="Q76" s="137"/>
      <c r="R76" s="334"/>
      <c r="S76" s="235"/>
      <c r="T76" s="229"/>
      <c r="U76" s="229"/>
      <c r="V76" s="230"/>
      <c r="W76" s="230"/>
      <c r="X76" s="230"/>
      <c r="Y76" s="230"/>
      <c r="Z76" s="230"/>
      <c r="AA76" s="230"/>
      <c r="AB76" s="230"/>
      <c r="AC76" s="230"/>
      <c r="AD76" s="127"/>
      <c r="AE76" s="127"/>
      <c r="AF76" s="127"/>
      <c r="AG76" s="127"/>
    </row>
    <row r="77" spans="1:33" s="28" customFormat="1" ht="15.75" customHeight="1">
      <c r="A77" s="117"/>
      <c r="B77" s="334"/>
      <c r="C77" s="138"/>
      <c r="D77" s="719"/>
      <c r="E77" s="720"/>
      <c r="F77" s="720"/>
      <c r="G77" s="720"/>
      <c r="H77" s="720"/>
      <c r="I77" s="720"/>
      <c r="J77" s="720"/>
      <c r="K77" s="720"/>
      <c r="L77" s="720"/>
      <c r="M77" s="720"/>
      <c r="N77" s="720"/>
      <c r="O77" s="720"/>
      <c r="P77" s="721"/>
      <c r="Q77" s="139"/>
      <c r="R77" s="334"/>
      <c r="S77" s="132" t="s">
        <v>0</v>
      </c>
      <c r="T77" s="131"/>
      <c r="U77" s="131"/>
      <c r="V77" s="64"/>
      <c r="W77" s="64"/>
      <c r="X77" s="64"/>
      <c r="Y77" s="64"/>
      <c r="Z77" s="64"/>
      <c r="AA77" s="64"/>
      <c r="AB77" s="64"/>
      <c r="AC77" s="64"/>
      <c r="AD77" s="130"/>
      <c r="AE77" s="130"/>
      <c r="AF77" s="130"/>
      <c r="AG77" s="130"/>
    </row>
    <row r="78" spans="1:33" s="33" customFormat="1" ht="15.75" customHeight="1">
      <c r="A78" s="116"/>
      <c r="B78" s="334"/>
      <c r="C78" s="233"/>
      <c r="D78" s="497" t="s">
        <v>60</v>
      </c>
      <c r="E78" s="393" t="s">
        <v>18</v>
      </c>
      <c r="F78" s="733" t="s">
        <v>19</v>
      </c>
      <c r="G78" s="733"/>
      <c r="H78" s="733"/>
      <c r="I78" s="733"/>
      <c r="J78" s="733"/>
      <c r="K78" s="733"/>
      <c r="L78" s="733"/>
      <c r="M78" s="733"/>
      <c r="N78" s="733"/>
      <c r="O78" s="733"/>
      <c r="P78" s="393" t="s">
        <v>20</v>
      </c>
      <c r="Q78" s="137"/>
      <c r="R78" s="334"/>
      <c r="S78" s="228"/>
      <c r="T78" s="229"/>
      <c r="U78" s="229"/>
      <c r="V78" s="230"/>
      <c r="W78" s="230"/>
      <c r="X78" s="230"/>
      <c r="Y78" s="230"/>
      <c r="Z78" s="230"/>
      <c r="AA78" s="230"/>
      <c r="AB78" s="230"/>
      <c r="AC78" s="230"/>
      <c r="AD78" s="127"/>
      <c r="AE78" s="127"/>
      <c r="AF78" s="127"/>
      <c r="AG78" s="127"/>
    </row>
    <row r="79" spans="1:33" s="28" customFormat="1" ht="15.75" customHeight="1">
      <c r="A79" s="117"/>
      <c r="B79" s="334"/>
      <c r="C79" s="138"/>
      <c r="D79" s="36"/>
      <c r="E79" s="30" t="s">
        <v>229</v>
      </c>
      <c r="F79" s="71">
        <v>1</v>
      </c>
      <c r="G79" s="72">
        <v>2</v>
      </c>
      <c r="H79" s="73">
        <v>3</v>
      </c>
      <c r="I79" s="74">
        <v>4</v>
      </c>
      <c r="J79" s="75">
        <v>5</v>
      </c>
      <c r="K79" s="76">
        <v>6</v>
      </c>
      <c r="L79" s="77">
        <v>7</v>
      </c>
      <c r="M79" s="78">
        <v>8</v>
      </c>
      <c r="N79" s="79">
        <v>9</v>
      </c>
      <c r="O79" s="80">
        <v>10</v>
      </c>
      <c r="P79" s="32"/>
      <c r="Q79" s="139"/>
      <c r="R79" s="334"/>
      <c r="S79" s="133">
        <f>VLOOKUP($E79,R.VL_DEQResourcesInvolved,2,FALSE)</f>
        <v>0</v>
      </c>
      <c r="T79" s="121">
        <f>VLOOKUP($E79,R.VL_DEQResourcesInvolved,3,FALSE)</f>
        <v>0</v>
      </c>
      <c r="U79" s="121">
        <f>IF(S79=10,T79,VLOOKUP($E79,R.VL_DEQResourcesInvolved,4,FALSE))</f>
        <v>0</v>
      </c>
      <c r="V79" s="575" t="s">
        <v>554</v>
      </c>
      <c r="W79" s="64"/>
      <c r="X79" s="64"/>
      <c r="Y79" s="64"/>
      <c r="Z79" s="64"/>
      <c r="AA79" s="64"/>
      <c r="AB79" s="64"/>
      <c r="AC79" s="64"/>
      <c r="AD79" s="130"/>
      <c r="AE79" s="130"/>
      <c r="AF79" s="130"/>
      <c r="AG79" s="130"/>
    </row>
    <row r="80" spans="1:33" s="28" customFormat="1" ht="15.75" hidden="1" customHeight="1" outlineLevel="1">
      <c r="A80" s="117"/>
      <c r="B80" s="334"/>
      <c r="C80" s="138"/>
      <c r="D80" s="36" t="s">
        <v>0</v>
      </c>
      <c r="E80" s="30" t="s">
        <v>229</v>
      </c>
      <c r="F80" s="71">
        <v>1</v>
      </c>
      <c r="G80" s="72">
        <v>2</v>
      </c>
      <c r="H80" s="73">
        <v>3</v>
      </c>
      <c r="I80" s="74">
        <v>4</v>
      </c>
      <c r="J80" s="75">
        <v>5</v>
      </c>
      <c r="K80" s="76">
        <v>6</v>
      </c>
      <c r="L80" s="77">
        <v>7</v>
      </c>
      <c r="M80" s="78">
        <v>8</v>
      </c>
      <c r="N80" s="79">
        <v>9</v>
      </c>
      <c r="O80" s="80">
        <v>10</v>
      </c>
      <c r="P80" s="32" t="s">
        <v>0</v>
      </c>
      <c r="Q80" s="139"/>
      <c r="R80" s="334"/>
      <c r="S80" s="133">
        <f>VLOOKUP($E80,R.VL_DEQResourcesInvolved,2,FALSE)</f>
        <v>0</v>
      </c>
      <c r="T80" s="121">
        <f>VLOOKUP($E80,R.VL_DEQResourcesInvolved,3,FALSE)</f>
        <v>0</v>
      </c>
      <c r="U80" s="121">
        <f>IF(S80=10,T80,VLOOKUP($E80,R.VL_DEQResourcesInvolved,4,FALSE))</f>
        <v>0</v>
      </c>
      <c r="V80" s="64"/>
      <c r="W80" s="64"/>
      <c r="X80" s="64"/>
      <c r="Y80" s="64"/>
      <c r="Z80" s="64"/>
      <c r="AA80" s="64"/>
      <c r="AB80" s="64"/>
      <c r="AC80" s="64"/>
      <c r="AD80" s="130"/>
      <c r="AE80" s="130"/>
      <c r="AF80" s="130"/>
      <c r="AG80" s="130"/>
    </row>
    <row r="81" spans="1:33" s="28" customFormat="1" ht="15.75" hidden="1" customHeight="1" outlineLevel="1">
      <c r="A81" s="117"/>
      <c r="B81" s="334"/>
      <c r="C81" s="138"/>
      <c r="D81" s="36" t="s">
        <v>0</v>
      </c>
      <c r="E81" s="30" t="s">
        <v>229</v>
      </c>
      <c r="F81" s="71">
        <v>1</v>
      </c>
      <c r="G81" s="72">
        <v>2</v>
      </c>
      <c r="H81" s="73">
        <v>3</v>
      </c>
      <c r="I81" s="74">
        <v>4</v>
      </c>
      <c r="J81" s="75">
        <v>5</v>
      </c>
      <c r="K81" s="76">
        <v>6</v>
      </c>
      <c r="L81" s="77">
        <v>7</v>
      </c>
      <c r="M81" s="78">
        <v>8</v>
      </c>
      <c r="N81" s="79">
        <v>9</v>
      </c>
      <c r="O81" s="80">
        <v>10</v>
      </c>
      <c r="P81" s="32" t="s">
        <v>0</v>
      </c>
      <c r="Q81" s="139"/>
      <c r="R81" s="334"/>
      <c r="S81" s="133">
        <f>VLOOKUP($E81,R.VL_DEQResourcesInvolved,2,FALSE)</f>
        <v>0</v>
      </c>
      <c r="T81" s="121">
        <f>VLOOKUP($E81,R.VL_DEQResourcesInvolved,3,FALSE)</f>
        <v>0</v>
      </c>
      <c r="U81" s="121">
        <f>IF(S81=10,T81,VLOOKUP($E81,R.VL_DEQResourcesInvolved,4,FALSE))</f>
        <v>0</v>
      </c>
      <c r="V81" s="64"/>
      <c r="W81" s="64"/>
      <c r="X81" s="64"/>
      <c r="Y81" s="64"/>
      <c r="Z81" s="64"/>
      <c r="AA81" s="64"/>
      <c r="AB81" s="64"/>
      <c r="AC81" s="64"/>
      <c r="AD81" s="130"/>
      <c r="AE81" s="130"/>
      <c r="AF81" s="130"/>
      <c r="AG81" s="130"/>
    </row>
    <row r="82" spans="1:33" s="28" customFormat="1" ht="15.75" hidden="1" customHeight="1" outlineLevel="1">
      <c r="A82" s="117"/>
      <c r="B82" s="334"/>
      <c r="C82" s="138"/>
      <c r="D82" s="36" t="s">
        <v>0</v>
      </c>
      <c r="E82" s="30" t="s">
        <v>229</v>
      </c>
      <c r="F82" s="71">
        <v>1</v>
      </c>
      <c r="G82" s="72">
        <v>2</v>
      </c>
      <c r="H82" s="73">
        <v>3</v>
      </c>
      <c r="I82" s="74">
        <v>4</v>
      </c>
      <c r="J82" s="75">
        <v>5</v>
      </c>
      <c r="K82" s="76">
        <v>6</v>
      </c>
      <c r="L82" s="77">
        <v>7</v>
      </c>
      <c r="M82" s="78">
        <v>8</v>
      </c>
      <c r="N82" s="79">
        <v>9</v>
      </c>
      <c r="O82" s="80">
        <v>10</v>
      </c>
      <c r="P82" s="32" t="s">
        <v>0</v>
      </c>
      <c r="Q82" s="139"/>
      <c r="R82" s="334"/>
      <c r="S82" s="133">
        <f>VLOOKUP($E82,R.VL_DEQResourcesInvolved,2,FALSE)</f>
        <v>0</v>
      </c>
      <c r="T82" s="121">
        <f>VLOOKUP($E82,R.VL_DEQResourcesInvolved,3,FALSE)</f>
        <v>0</v>
      </c>
      <c r="U82" s="121">
        <f>IF(S82=10,T82,VLOOKUP($E82,R.VL_DEQResourcesInvolved,4,FALSE))</f>
        <v>0</v>
      </c>
      <c r="V82" s="64"/>
      <c r="W82" s="64"/>
      <c r="X82" s="64"/>
      <c r="Y82" s="64"/>
      <c r="Z82" s="64"/>
      <c r="AA82" s="64"/>
      <c r="AB82" s="64"/>
      <c r="AC82" s="64"/>
      <c r="AD82" s="130"/>
      <c r="AE82" s="130"/>
      <c r="AF82" s="130"/>
      <c r="AG82" s="130"/>
    </row>
    <row r="83" spans="1:33" s="28" customFormat="1" ht="15.75" customHeight="1" collapsed="1">
      <c r="A83" s="117"/>
      <c r="B83" s="334"/>
      <c r="C83" s="245"/>
      <c r="D83" s="442" t="s">
        <v>52</v>
      </c>
      <c r="E83" s="31"/>
      <c r="F83" s="31"/>
      <c r="G83" s="31"/>
      <c r="H83" s="31"/>
      <c r="I83" s="31"/>
      <c r="J83" s="31"/>
      <c r="K83" s="31"/>
      <c r="L83" s="31"/>
      <c r="M83" s="31"/>
      <c r="N83" s="31"/>
      <c r="O83" s="31"/>
      <c r="P83" s="31"/>
      <c r="Q83" s="143"/>
      <c r="R83" s="334"/>
      <c r="S83" s="228"/>
      <c r="T83" s="229"/>
      <c r="U83" s="229"/>
      <c r="V83" s="236"/>
      <c r="W83" s="236"/>
      <c r="X83" s="236"/>
      <c r="Y83" s="236"/>
      <c r="Z83" s="236"/>
      <c r="AA83" s="236"/>
      <c r="AB83" s="236"/>
      <c r="AC83" s="236"/>
      <c r="AD83" s="130"/>
      <c r="AE83" s="130"/>
      <c r="AF83" s="130"/>
      <c r="AG83" s="130"/>
    </row>
    <row r="84" spans="1:33" s="28" customFormat="1" ht="15.75" customHeight="1">
      <c r="A84" s="117"/>
      <c r="B84" s="334"/>
      <c r="C84" s="138"/>
      <c r="D84" s="734"/>
      <c r="E84" s="735"/>
      <c r="F84" s="735"/>
      <c r="G84" s="735"/>
      <c r="H84" s="735"/>
      <c r="I84" s="735"/>
      <c r="J84" s="735"/>
      <c r="K84" s="735"/>
      <c r="L84" s="735"/>
      <c r="M84" s="735"/>
      <c r="N84" s="735"/>
      <c r="O84" s="735"/>
      <c r="P84" s="736"/>
      <c r="Q84" s="139"/>
      <c r="R84" s="334"/>
      <c r="S84" s="132" t="s">
        <v>0</v>
      </c>
      <c r="T84" s="131"/>
      <c r="U84" s="131"/>
      <c r="V84" s="64"/>
      <c r="W84" s="64"/>
      <c r="X84" s="64"/>
      <c r="Y84" s="64"/>
      <c r="Z84" s="64"/>
      <c r="AA84" s="64"/>
      <c r="AB84" s="64"/>
      <c r="AC84" s="64"/>
      <c r="AD84" s="130"/>
      <c r="AE84" s="130"/>
      <c r="AF84" s="130"/>
      <c r="AG84" s="130"/>
    </row>
    <row r="85" spans="1:33" s="33" customFormat="1" ht="15.75" customHeight="1">
      <c r="A85" s="116"/>
      <c r="B85" s="334"/>
      <c r="C85" s="232"/>
      <c r="D85" s="442" t="s">
        <v>60</v>
      </c>
      <c r="E85" s="292" t="s">
        <v>18</v>
      </c>
      <c r="F85" s="749" t="s">
        <v>19</v>
      </c>
      <c r="G85" s="749"/>
      <c r="H85" s="749"/>
      <c r="I85" s="749"/>
      <c r="J85" s="749"/>
      <c r="K85" s="749"/>
      <c r="L85" s="749"/>
      <c r="M85" s="749"/>
      <c r="N85" s="749"/>
      <c r="O85" s="749"/>
      <c r="P85" s="292" t="s">
        <v>20</v>
      </c>
      <c r="Q85" s="137"/>
      <c r="R85" s="334"/>
      <c r="S85" s="228"/>
      <c r="T85" s="229"/>
      <c r="U85" s="229"/>
      <c r="V85" s="230"/>
      <c r="W85" s="230"/>
      <c r="X85" s="230"/>
      <c r="Y85" s="230"/>
      <c r="Z85" s="230"/>
      <c r="AA85" s="230"/>
      <c r="AB85" s="230"/>
      <c r="AC85" s="230"/>
      <c r="AD85" s="127"/>
      <c r="AE85" s="127"/>
      <c r="AF85" s="127"/>
      <c r="AG85" s="127"/>
    </row>
    <row r="86" spans="1:33" s="28" customFormat="1" ht="15.75" customHeight="1">
      <c r="A86" s="117"/>
      <c r="B86" s="334"/>
      <c r="C86" s="138"/>
      <c r="D86" s="36"/>
      <c r="E86" s="30" t="s">
        <v>229</v>
      </c>
      <c r="F86" s="71">
        <v>1</v>
      </c>
      <c r="G86" s="72">
        <v>2</v>
      </c>
      <c r="H86" s="73">
        <v>3</v>
      </c>
      <c r="I86" s="74">
        <v>4</v>
      </c>
      <c r="J86" s="75">
        <v>5</v>
      </c>
      <c r="K86" s="76">
        <v>6</v>
      </c>
      <c r="L86" s="77">
        <v>7</v>
      </c>
      <c r="M86" s="78">
        <v>8</v>
      </c>
      <c r="N86" s="79">
        <v>9</v>
      </c>
      <c r="O86" s="80">
        <v>10</v>
      </c>
      <c r="P86" s="32"/>
      <c r="Q86" s="139"/>
      <c r="R86" s="334"/>
      <c r="S86" s="133">
        <f>VLOOKUP($E86,R.VL_DEQResourcesInvolved,2,FALSE)</f>
        <v>0</v>
      </c>
      <c r="T86" s="121">
        <f>VLOOKUP($E86,R.VL_DEQResourcesInvolved,3,FALSE)</f>
        <v>0</v>
      </c>
      <c r="U86" s="121">
        <f>IF(S86=10,T86,VLOOKUP($E86,R.VL_DEQResourcesInvolved,4,FALSE))</f>
        <v>0</v>
      </c>
      <c r="V86" s="575" t="s">
        <v>554</v>
      </c>
      <c r="W86" s="64"/>
      <c r="X86" s="64"/>
      <c r="Y86" s="64"/>
      <c r="Z86" s="64"/>
      <c r="AA86" s="64"/>
      <c r="AB86" s="64"/>
      <c r="AC86" s="64"/>
      <c r="AD86" s="130"/>
      <c r="AE86" s="130"/>
      <c r="AF86" s="130"/>
      <c r="AG86" s="130"/>
    </row>
    <row r="87" spans="1:33" s="28" customFormat="1" ht="15.75" hidden="1" customHeight="1" outlineLevel="1">
      <c r="A87" s="117"/>
      <c r="B87" s="334"/>
      <c r="C87" s="138"/>
      <c r="D87" s="36" t="s">
        <v>0</v>
      </c>
      <c r="E87" s="30" t="s">
        <v>229</v>
      </c>
      <c r="F87" s="71">
        <v>1</v>
      </c>
      <c r="G87" s="72">
        <v>2</v>
      </c>
      <c r="H87" s="73">
        <v>3</v>
      </c>
      <c r="I87" s="74">
        <v>4</v>
      </c>
      <c r="J87" s="75">
        <v>5</v>
      </c>
      <c r="K87" s="76">
        <v>6</v>
      </c>
      <c r="L87" s="77">
        <v>7</v>
      </c>
      <c r="M87" s="78">
        <v>8</v>
      </c>
      <c r="N87" s="79">
        <v>9</v>
      </c>
      <c r="O87" s="80">
        <v>10</v>
      </c>
      <c r="P87" s="32" t="s">
        <v>0</v>
      </c>
      <c r="Q87" s="139"/>
      <c r="R87" s="334"/>
      <c r="S87" s="133">
        <f>VLOOKUP($E87,R.VL_DEQResourcesInvolved,2,FALSE)</f>
        <v>0</v>
      </c>
      <c r="T87" s="121">
        <f>VLOOKUP($E87,R.VL_DEQResourcesInvolved,3,FALSE)</f>
        <v>0</v>
      </c>
      <c r="U87" s="121">
        <f>IF(S87=10,T87,VLOOKUP($E87,R.VL_DEQResourcesInvolved,4,FALSE))</f>
        <v>0</v>
      </c>
      <c r="V87" s="64"/>
      <c r="W87" s="64"/>
      <c r="X87" s="64"/>
      <c r="Y87" s="64"/>
      <c r="Z87" s="64"/>
      <c r="AA87" s="64"/>
      <c r="AB87" s="64"/>
      <c r="AC87" s="64"/>
      <c r="AD87" s="130"/>
      <c r="AE87" s="130"/>
      <c r="AF87" s="130"/>
      <c r="AG87" s="130"/>
    </row>
    <row r="88" spans="1:33" s="28" customFormat="1" ht="15.75" hidden="1" customHeight="1" outlineLevel="1">
      <c r="A88" s="117"/>
      <c r="B88" s="334"/>
      <c r="C88" s="138"/>
      <c r="D88" s="36" t="s">
        <v>0</v>
      </c>
      <c r="E88" s="30" t="s">
        <v>229</v>
      </c>
      <c r="F88" s="71">
        <v>1</v>
      </c>
      <c r="G88" s="72">
        <v>2</v>
      </c>
      <c r="H88" s="73">
        <v>3</v>
      </c>
      <c r="I88" s="74">
        <v>4</v>
      </c>
      <c r="J88" s="75">
        <v>5</v>
      </c>
      <c r="K88" s="76">
        <v>6</v>
      </c>
      <c r="L88" s="77">
        <v>7</v>
      </c>
      <c r="M88" s="78">
        <v>8</v>
      </c>
      <c r="N88" s="79">
        <v>9</v>
      </c>
      <c r="O88" s="80">
        <v>10</v>
      </c>
      <c r="P88" s="32" t="s">
        <v>0</v>
      </c>
      <c r="Q88" s="139"/>
      <c r="R88" s="334"/>
      <c r="S88" s="133">
        <f>VLOOKUP($E88,R.VL_DEQResourcesInvolved,2,FALSE)</f>
        <v>0</v>
      </c>
      <c r="T88" s="121">
        <f>VLOOKUP($E88,R.VL_DEQResourcesInvolved,3,FALSE)</f>
        <v>0</v>
      </c>
      <c r="U88" s="121">
        <f>IF(S88=10,T88,VLOOKUP($E88,R.VL_DEQResourcesInvolved,4,FALSE))</f>
        <v>0</v>
      </c>
      <c r="V88" s="64"/>
      <c r="W88" s="64"/>
      <c r="X88" s="64"/>
      <c r="Y88" s="64"/>
      <c r="Z88" s="64"/>
      <c r="AA88" s="64"/>
      <c r="AB88" s="64"/>
      <c r="AC88" s="64"/>
      <c r="AD88" s="130"/>
      <c r="AE88" s="130"/>
      <c r="AF88" s="130"/>
      <c r="AG88" s="130"/>
    </row>
    <row r="89" spans="1:33" s="28" customFormat="1" ht="15.75" hidden="1" customHeight="1" outlineLevel="1">
      <c r="A89" s="117"/>
      <c r="B89" s="334"/>
      <c r="C89" s="138"/>
      <c r="D89" s="36" t="s">
        <v>0</v>
      </c>
      <c r="E89" s="30" t="s">
        <v>229</v>
      </c>
      <c r="F89" s="71">
        <v>1</v>
      </c>
      <c r="G89" s="72">
        <v>2</v>
      </c>
      <c r="H89" s="73">
        <v>3</v>
      </c>
      <c r="I89" s="74">
        <v>4</v>
      </c>
      <c r="J89" s="75">
        <v>5</v>
      </c>
      <c r="K89" s="76">
        <v>6</v>
      </c>
      <c r="L89" s="77">
        <v>7</v>
      </c>
      <c r="M89" s="78">
        <v>8</v>
      </c>
      <c r="N89" s="79">
        <v>9</v>
      </c>
      <c r="O89" s="80">
        <v>10</v>
      </c>
      <c r="P89" s="32" t="s">
        <v>0</v>
      </c>
      <c r="Q89" s="139"/>
      <c r="R89" s="334"/>
      <c r="S89" s="133">
        <f>VLOOKUP($E89,R.VL_DEQResourcesInvolved,2,FALSE)</f>
        <v>0</v>
      </c>
      <c r="T89" s="121">
        <f>VLOOKUP($E89,R.VL_DEQResourcesInvolved,3,FALSE)</f>
        <v>0</v>
      </c>
      <c r="U89" s="121">
        <f>IF(S89=10,T89,VLOOKUP($E89,R.VL_DEQResourcesInvolved,4,FALSE))</f>
        <v>0</v>
      </c>
      <c r="V89" s="64"/>
      <c r="W89" s="64"/>
      <c r="X89" s="64"/>
      <c r="Y89" s="64"/>
      <c r="Z89" s="64"/>
      <c r="AA89" s="64"/>
      <c r="AB89" s="64"/>
      <c r="AC89" s="64"/>
      <c r="AD89" s="130"/>
      <c r="AE89" s="130"/>
      <c r="AF89" s="130"/>
      <c r="AG89" s="130"/>
    </row>
    <row r="90" spans="1:33" s="28" customFormat="1" ht="14.25" customHeight="1" collapsed="1">
      <c r="A90" s="117"/>
      <c r="B90" s="334"/>
      <c r="C90" s="376"/>
      <c r="D90" s="481"/>
      <c r="E90" s="739"/>
      <c r="F90" s="739"/>
      <c r="G90" s="739"/>
      <c r="H90" s="739"/>
      <c r="I90" s="739"/>
      <c r="J90" s="739"/>
      <c r="K90" s="739"/>
      <c r="L90" s="739"/>
      <c r="M90" s="739"/>
      <c r="N90" s="739"/>
      <c r="O90" s="739"/>
      <c r="P90" s="739"/>
      <c r="Q90" s="379"/>
      <c r="R90" s="334"/>
      <c r="S90" s="132"/>
      <c r="T90" s="131"/>
      <c r="U90" s="131"/>
      <c r="V90" s="64"/>
      <c r="W90" s="64"/>
      <c r="X90" s="64"/>
      <c r="Y90" s="64"/>
      <c r="Z90" s="64"/>
      <c r="AA90" s="64"/>
      <c r="AB90" s="64"/>
      <c r="AC90" s="64"/>
      <c r="AD90" s="130"/>
      <c r="AE90" s="130"/>
      <c r="AF90" s="130"/>
      <c r="AG90" s="130"/>
    </row>
    <row r="91" spans="1:33" s="33" customFormat="1" ht="30" customHeight="1">
      <c r="A91" s="350" t="s">
        <v>107</v>
      </c>
      <c r="B91" s="334"/>
      <c r="C91" s="136"/>
      <c r="D91" s="304" t="s">
        <v>153</v>
      </c>
      <c r="E91" s="302"/>
      <c r="F91" s="94"/>
      <c r="G91" s="94"/>
      <c r="H91" s="94"/>
      <c r="I91" s="94"/>
      <c r="J91" s="94"/>
      <c r="K91" s="94"/>
      <c r="L91" s="94"/>
      <c r="M91" s="94"/>
      <c r="N91" s="94"/>
      <c r="O91" s="94"/>
      <c r="P91" s="94"/>
      <c r="Q91" s="137"/>
      <c r="R91" s="334"/>
      <c r="S91" s="134"/>
      <c r="T91" s="131"/>
      <c r="U91" s="131"/>
      <c r="V91" s="129"/>
      <c r="W91" s="129"/>
      <c r="X91" s="129"/>
      <c r="Y91" s="129"/>
      <c r="Z91" s="129"/>
      <c r="AA91" s="129"/>
      <c r="AB91" s="129"/>
      <c r="AC91" s="129"/>
      <c r="AD91" s="127"/>
      <c r="AE91" s="127"/>
      <c r="AF91" s="127"/>
      <c r="AG91" s="127"/>
    </row>
    <row r="92" spans="1:33" s="33" customFormat="1" ht="14.25" customHeight="1">
      <c r="A92" s="116"/>
      <c r="B92" s="334"/>
      <c r="C92" s="136"/>
      <c r="D92" s="443" t="s">
        <v>53</v>
      </c>
      <c r="E92" s="94"/>
      <c r="F92" s="94"/>
      <c r="G92" s="94"/>
      <c r="H92" s="94"/>
      <c r="I92" s="94"/>
      <c r="J92" s="94"/>
      <c r="K92" s="94"/>
      <c r="L92" s="94"/>
      <c r="M92" s="94"/>
      <c r="N92" s="94"/>
      <c r="O92" s="94"/>
      <c r="P92" s="94"/>
      <c r="Q92" s="137"/>
      <c r="R92" s="334"/>
      <c r="S92" s="134"/>
      <c r="T92" s="131"/>
      <c r="U92" s="131"/>
      <c r="V92" s="129"/>
      <c r="W92" s="129"/>
      <c r="X92" s="129"/>
      <c r="Y92" s="129"/>
      <c r="Z92" s="129"/>
      <c r="AA92" s="129"/>
      <c r="AB92" s="129"/>
      <c r="AC92" s="129"/>
      <c r="AD92" s="127"/>
      <c r="AE92" s="127"/>
      <c r="AF92" s="127"/>
      <c r="AG92" s="127"/>
    </row>
    <row r="93" spans="1:33" s="28" customFormat="1" ht="15.75" customHeight="1">
      <c r="A93" s="117"/>
      <c r="B93" s="334"/>
      <c r="C93" s="138"/>
      <c r="D93" s="719"/>
      <c r="E93" s="720"/>
      <c r="F93" s="720"/>
      <c r="G93" s="720"/>
      <c r="H93" s="720"/>
      <c r="I93" s="720"/>
      <c r="J93" s="720"/>
      <c r="K93" s="720"/>
      <c r="L93" s="720"/>
      <c r="M93" s="720"/>
      <c r="N93" s="720"/>
      <c r="O93" s="720"/>
      <c r="P93" s="721"/>
      <c r="Q93" s="139"/>
      <c r="R93" s="334"/>
      <c r="S93" s="132" t="s">
        <v>0</v>
      </c>
      <c r="T93" s="131"/>
      <c r="U93" s="131"/>
      <c r="V93" s="64"/>
      <c r="W93" s="64"/>
      <c r="X93" s="64"/>
      <c r="Y93" s="64"/>
      <c r="Z93" s="64"/>
      <c r="AA93" s="64"/>
      <c r="AB93" s="64"/>
      <c r="AC93" s="64"/>
      <c r="AD93" s="130"/>
      <c r="AE93" s="130"/>
      <c r="AF93" s="130"/>
      <c r="AG93" s="130"/>
    </row>
    <row r="94" spans="1:33" s="33" customFormat="1" ht="15.75" customHeight="1">
      <c r="A94" s="116"/>
      <c r="B94" s="334"/>
      <c r="C94" s="232"/>
      <c r="D94" s="442" t="s">
        <v>60</v>
      </c>
      <c r="E94" s="292" t="s">
        <v>18</v>
      </c>
      <c r="F94" s="749" t="s">
        <v>19</v>
      </c>
      <c r="G94" s="749"/>
      <c r="H94" s="749"/>
      <c r="I94" s="749"/>
      <c r="J94" s="749"/>
      <c r="K94" s="749"/>
      <c r="L94" s="749"/>
      <c r="M94" s="749"/>
      <c r="N94" s="749"/>
      <c r="O94" s="749"/>
      <c r="P94" s="292" t="s">
        <v>20</v>
      </c>
      <c r="Q94" s="137"/>
      <c r="R94" s="334"/>
      <c r="S94" s="228"/>
      <c r="T94" s="229"/>
      <c r="U94" s="229"/>
      <c r="V94" s="230"/>
      <c r="W94" s="230"/>
      <c r="X94" s="230"/>
      <c r="Y94" s="230"/>
      <c r="Z94" s="230"/>
      <c r="AA94" s="230"/>
      <c r="AB94" s="230"/>
      <c r="AC94" s="230"/>
      <c r="AD94" s="127"/>
      <c r="AE94" s="127"/>
      <c r="AF94" s="127"/>
      <c r="AG94" s="127"/>
    </row>
    <row r="95" spans="1:33" s="28" customFormat="1" ht="15.75" customHeight="1">
      <c r="A95" s="117"/>
      <c r="B95" s="334"/>
      <c r="C95" s="138"/>
      <c r="D95" s="36" t="s">
        <v>593</v>
      </c>
      <c r="E95" s="30" t="s">
        <v>229</v>
      </c>
      <c r="F95" s="71">
        <v>1</v>
      </c>
      <c r="G95" s="72">
        <v>2</v>
      </c>
      <c r="H95" s="73">
        <v>3</v>
      </c>
      <c r="I95" s="74">
        <v>4</v>
      </c>
      <c r="J95" s="75">
        <v>5</v>
      </c>
      <c r="K95" s="76">
        <v>6</v>
      </c>
      <c r="L95" s="77">
        <v>7</v>
      </c>
      <c r="M95" s="78">
        <v>8</v>
      </c>
      <c r="N95" s="79">
        <v>9</v>
      </c>
      <c r="O95" s="80">
        <v>10</v>
      </c>
      <c r="P95" s="32"/>
      <c r="Q95" s="139"/>
      <c r="R95" s="334"/>
      <c r="S95" s="133">
        <f>VLOOKUP($E95,R.VL_DEQResourcesInvolved,2,FALSE)</f>
        <v>0</v>
      </c>
      <c r="T95" s="121">
        <f>VLOOKUP($E95,R.VL_DEQResourcesInvolved,3,FALSE)</f>
        <v>0</v>
      </c>
      <c r="U95" s="121">
        <f>IF(S95=10,T95,VLOOKUP($E95,R.VL_DEQResourcesInvolved,4,FALSE))</f>
        <v>0</v>
      </c>
      <c r="V95" s="575" t="s">
        <v>554</v>
      </c>
      <c r="W95" s="64"/>
      <c r="X95" s="64"/>
      <c r="Y95" s="64"/>
      <c r="Z95" s="64"/>
      <c r="AA95" s="64"/>
      <c r="AB95" s="64"/>
      <c r="AC95" s="64"/>
      <c r="AD95" s="130"/>
      <c r="AE95" s="130"/>
      <c r="AF95" s="130"/>
      <c r="AG95" s="130"/>
    </row>
    <row r="96" spans="1:33" s="28" customFormat="1" ht="15.75" hidden="1" customHeight="1" outlineLevel="1">
      <c r="A96" s="117"/>
      <c r="B96" s="334"/>
      <c r="C96" s="138"/>
      <c r="D96" s="36" t="s">
        <v>0</v>
      </c>
      <c r="E96" s="30" t="s">
        <v>229</v>
      </c>
      <c r="F96" s="71">
        <v>1</v>
      </c>
      <c r="G96" s="72">
        <v>2</v>
      </c>
      <c r="H96" s="73">
        <v>3</v>
      </c>
      <c r="I96" s="74">
        <v>4</v>
      </c>
      <c r="J96" s="75">
        <v>5</v>
      </c>
      <c r="K96" s="76">
        <v>6</v>
      </c>
      <c r="L96" s="77">
        <v>7</v>
      </c>
      <c r="M96" s="78">
        <v>8</v>
      </c>
      <c r="N96" s="79">
        <v>9</v>
      </c>
      <c r="O96" s="80">
        <v>10</v>
      </c>
      <c r="P96" s="32" t="s">
        <v>0</v>
      </c>
      <c r="Q96" s="139"/>
      <c r="R96" s="334"/>
      <c r="S96" s="133">
        <f>VLOOKUP($E96,R.VL_DEQResourcesInvolved,2,FALSE)</f>
        <v>0</v>
      </c>
      <c r="T96" s="121">
        <f>VLOOKUP($E96,R.VL_DEQResourcesInvolved,3,FALSE)</f>
        <v>0</v>
      </c>
      <c r="U96" s="121">
        <f>IF(S96=10,T96,VLOOKUP($E96,R.VL_DEQResourcesInvolved,4,FALSE))</f>
        <v>0</v>
      </c>
      <c r="V96" s="64"/>
      <c r="W96" s="64"/>
      <c r="X96" s="64"/>
      <c r="Y96" s="64"/>
      <c r="Z96" s="64"/>
      <c r="AA96" s="64"/>
      <c r="AB96" s="64"/>
      <c r="AC96" s="64"/>
      <c r="AD96" s="130"/>
      <c r="AE96" s="130"/>
      <c r="AF96" s="130"/>
      <c r="AG96" s="130"/>
    </row>
    <row r="97" spans="1:33" s="28" customFormat="1" ht="15.75" hidden="1" customHeight="1" outlineLevel="1">
      <c r="A97" s="117"/>
      <c r="B97" s="334"/>
      <c r="C97" s="138"/>
      <c r="D97" s="36" t="s">
        <v>0</v>
      </c>
      <c r="E97" s="30" t="s">
        <v>229</v>
      </c>
      <c r="F97" s="71">
        <v>1</v>
      </c>
      <c r="G97" s="72">
        <v>2</v>
      </c>
      <c r="H97" s="73">
        <v>3</v>
      </c>
      <c r="I97" s="74">
        <v>4</v>
      </c>
      <c r="J97" s="75">
        <v>5</v>
      </c>
      <c r="K97" s="76">
        <v>6</v>
      </c>
      <c r="L97" s="77">
        <v>7</v>
      </c>
      <c r="M97" s="78">
        <v>8</v>
      </c>
      <c r="N97" s="79">
        <v>9</v>
      </c>
      <c r="O97" s="80">
        <v>10</v>
      </c>
      <c r="P97" s="32" t="s">
        <v>0</v>
      </c>
      <c r="Q97" s="139"/>
      <c r="R97" s="334"/>
      <c r="S97" s="133">
        <f>VLOOKUP($E97,R.VL_DEQResourcesInvolved,2,FALSE)</f>
        <v>0</v>
      </c>
      <c r="T97" s="121">
        <f>VLOOKUP($E97,R.VL_DEQResourcesInvolved,3,FALSE)</f>
        <v>0</v>
      </c>
      <c r="U97" s="121">
        <f>IF(S97=10,T97,VLOOKUP($E97,R.VL_DEQResourcesInvolved,4,FALSE))</f>
        <v>0</v>
      </c>
      <c r="V97" s="64"/>
      <c r="W97" s="64"/>
      <c r="X97" s="64"/>
      <c r="Y97" s="64"/>
      <c r="Z97" s="64"/>
      <c r="AA97" s="64"/>
      <c r="AB97" s="64"/>
      <c r="AC97" s="64"/>
      <c r="AD97" s="130"/>
      <c r="AE97" s="130"/>
      <c r="AF97" s="130"/>
      <c r="AG97" s="130"/>
    </row>
    <row r="98" spans="1:33" s="28" customFormat="1" ht="15.75" hidden="1" customHeight="1" outlineLevel="1">
      <c r="A98" s="117"/>
      <c r="B98" s="334"/>
      <c r="C98" s="138"/>
      <c r="D98" s="36" t="s">
        <v>0</v>
      </c>
      <c r="E98" s="30" t="s">
        <v>229</v>
      </c>
      <c r="F98" s="71">
        <v>1</v>
      </c>
      <c r="G98" s="72">
        <v>2</v>
      </c>
      <c r="H98" s="73">
        <v>3</v>
      </c>
      <c r="I98" s="74">
        <v>4</v>
      </c>
      <c r="J98" s="75">
        <v>5</v>
      </c>
      <c r="K98" s="76">
        <v>6</v>
      </c>
      <c r="L98" s="77">
        <v>7</v>
      </c>
      <c r="M98" s="78">
        <v>8</v>
      </c>
      <c r="N98" s="79">
        <v>9</v>
      </c>
      <c r="O98" s="80">
        <v>10</v>
      </c>
      <c r="P98" s="32" t="s">
        <v>0</v>
      </c>
      <c r="Q98" s="139"/>
      <c r="R98" s="334"/>
      <c r="S98" s="133">
        <f>VLOOKUP($E98,R.VL_DEQResourcesInvolved,2,FALSE)</f>
        <v>0</v>
      </c>
      <c r="T98" s="121">
        <f>VLOOKUP($E98,R.VL_DEQResourcesInvolved,3,FALSE)</f>
        <v>0</v>
      </c>
      <c r="U98" s="121">
        <f>IF(S98=10,T98,VLOOKUP($E98,R.VL_DEQResourcesInvolved,4,FALSE))</f>
        <v>0</v>
      </c>
      <c r="V98" s="64"/>
      <c r="W98" s="64"/>
      <c r="X98" s="64"/>
      <c r="Y98" s="64"/>
      <c r="Z98" s="64"/>
      <c r="AA98" s="64"/>
      <c r="AB98" s="64"/>
      <c r="AC98" s="64"/>
      <c r="AD98" s="130"/>
      <c r="AE98" s="130"/>
      <c r="AF98" s="130"/>
      <c r="AG98" s="130"/>
    </row>
    <row r="99" spans="1:33" s="28" customFormat="1" ht="15.75" customHeight="1" collapsed="1">
      <c r="A99" s="117"/>
      <c r="B99" s="334"/>
      <c r="C99" s="245"/>
      <c r="D99" s="443" t="s">
        <v>52</v>
      </c>
      <c r="E99" s="31"/>
      <c r="F99" s="31"/>
      <c r="G99" s="31"/>
      <c r="H99" s="31"/>
      <c r="I99" s="31"/>
      <c r="J99" s="31"/>
      <c r="K99" s="31"/>
      <c r="L99" s="31"/>
      <c r="M99" s="31"/>
      <c r="N99" s="31"/>
      <c r="O99" s="31"/>
      <c r="P99" s="31"/>
      <c r="Q99" s="143"/>
      <c r="R99" s="334"/>
      <c r="S99" s="228"/>
      <c r="T99" s="229"/>
      <c r="U99" s="229"/>
      <c r="V99" s="236"/>
      <c r="W99" s="236"/>
      <c r="X99" s="236"/>
      <c r="Y99" s="236"/>
      <c r="Z99" s="236"/>
      <c r="AA99" s="236"/>
      <c r="AB99" s="236"/>
      <c r="AC99" s="236"/>
      <c r="AD99" s="130"/>
      <c r="AE99" s="130"/>
      <c r="AF99" s="130"/>
      <c r="AG99" s="130"/>
    </row>
    <row r="100" spans="1:33" s="28" customFormat="1" ht="15.75" customHeight="1">
      <c r="A100" s="117"/>
      <c r="B100" s="334"/>
      <c r="C100" s="138"/>
      <c r="D100" s="724"/>
      <c r="E100" s="725"/>
      <c r="F100" s="725"/>
      <c r="G100" s="725"/>
      <c r="H100" s="725"/>
      <c r="I100" s="725"/>
      <c r="J100" s="725"/>
      <c r="K100" s="725"/>
      <c r="L100" s="725"/>
      <c r="M100" s="725"/>
      <c r="N100" s="725"/>
      <c r="O100" s="725"/>
      <c r="P100" s="726"/>
      <c r="Q100" s="139"/>
      <c r="R100" s="334"/>
      <c r="S100" s="132" t="s">
        <v>0</v>
      </c>
      <c r="T100" s="131"/>
      <c r="U100" s="131"/>
      <c r="V100" s="64"/>
      <c r="W100" s="64"/>
      <c r="X100" s="64"/>
      <c r="Y100" s="64"/>
      <c r="Z100" s="64"/>
      <c r="AA100" s="64"/>
      <c r="AB100" s="64"/>
      <c r="AC100" s="64"/>
      <c r="AD100" s="130"/>
      <c r="AE100" s="130"/>
      <c r="AF100" s="130"/>
      <c r="AG100" s="130"/>
    </row>
    <row r="101" spans="1:33" s="33" customFormat="1" ht="15.75" customHeight="1">
      <c r="A101" s="116"/>
      <c r="B101" s="334"/>
      <c r="C101" s="232"/>
      <c r="D101" s="442" t="s">
        <v>60</v>
      </c>
      <c r="E101" s="292" t="s">
        <v>18</v>
      </c>
      <c r="F101" s="749" t="s">
        <v>19</v>
      </c>
      <c r="G101" s="749"/>
      <c r="H101" s="749"/>
      <c r="I101" s="749"/>
      <c r="J101" s="749"/>
      <c r="K101" s="749"/>
      <c r="L101" s="749"/>
      <c r="M101" s="749"/>
      <c r="N101" s="749"/>
      <c r="O101" s="749"/>
      <c r="P101" s="292" t="s">
        <v>20</v>
      </c>
      <c r="Q101" s="137"/>
      <c r="R101" s="334"/>
      <c r="S101" s="228"/>
      <c r="T101" s="229"/>
      <c r="U101" s="229"/>
      <c r="V101" s="230"/>
      <c r="W101" s="230"/>
      <c r="X101" s="230"/>
      <c r="Y101" s="230"/>
      <c r="Z101" s="230"/>
      <c r="AA101" s="230"/>
      <c r="AB101" s="230"/>
      <c r="AC101" s="230"/>
      <c r="AD101" s="127"/>
      <c r="AE101" s="127"/>
      <c r="AF101" s="127"/>
      <c r="AG101" s="127"/>
    </row>
    <row r="102" spans="1:33" s="28" customFormat="1" ht="15.75" customHeight="1">
      <c r="A102" s="117"/>
      <c r="B102" s="334"/>
      <c r="C102" s="138"/>
      <c r="D102" s="36"/>
      <c r="E102" s="30" t="s">
        <v>229</v>
      </c>
      <c r="F102" s="71">
        <v>1</v>
      </c>
      <c r="G102" s="72">
        <v>2</v>
      </c>
      <c r="H102" s="73">
        <v>3</v>
      </c>
      <c r="I102" s="74">
        <v>4</v>
      </c>
      <c r="J102" s="75">
        <v>5</v>
      </c>
      <c r="K102" s="76">
        <v>6</v>
      </c>
      <c r="L102" s="77">
        <v>7</v>
      </c>
      <c r="M102" s="78">
        <v>8</v>
      </c>
      <c r="N102" s="79">
        <v>9</v>
      </c>
      <c r="O102" s="80">
        <v>10</v>
      </c>
      <c r="P102" s="32"/>
      <c r="Q102" s="139"/>
      <c r="R102" s="334"/>
      <c r="S102" s="133">
        <f>VLOOKUP($E102,R.VL_DEQResourcesInvolved,2,FALSE)</f>
        <v>0</v>
      </c>
      <c r="T102" s="121">
        <f>VLOOKUP($E102,R.VL_DEQResourcesInvolved,3,FALSE)</f>
        <v>0</v>
      </c>
      <c r="U102" s="121">
        <f>IF(S102=10,T102,VLOOKUP($E102,R.VL_DEQResourcesInvolved,4,FALSE))</f>
        <v>0</v>
      </c>
      <c r="V102" s="575" t="s">
        <v>554</v>
      </c>
      <c r="W102" s="64"/>
      <c r="X102" s="64"/>
      <c r="Y102" s="64"/>
      <c r="Z102" s="64"/>
      <c r="AA102" s="64"/>
      <c r="AB102" s="64"/>
      <c r="AC102" s="64"/>
      <c r="AD102" s="130"/>
      <c r="AE102" s="130"/>
      <c r="AF102" s="130"/>
      <c r="AG102" s="130"/>
    </row>
    <row r="103" spans="1:33" s="28" customFormat="1" ht="15.75" hidden="1" customHeight="1" outlineLevel="1">
      <c r="A103" s="117"/>
      <c r="B103" s="334"/>
      <c r="C103" s="138"/>
      <c r="D103" s="36" t="s">
        <v>0</v>
      </c>
      <c r="E103" s="30" t="s">
        <v>229</v>
      </c>
      <c r="F103" s="71">
        <v>1</v>
      </c>
      <c r="G103" s="72">
        <v>2</v>
      </c>
      <c r="H103" s="73">
        <v>3</v>
      </c>
      <c r="I103" s="74">
        <v>4</v>
      </c>
      <c r="J103" s="75">
        <v>5</v>
      </c>
      <c r="K103" s="76">
        <v>6</v>
      </c>
      <c r="L103" s="77">
        <v>7</v>
      </c>
      <c r="M103" s="78">
        <v>8</v>
      </c>
      <c r="N103" s="79">
        <v>9</v>
      </c>
      <c r="O103" s="80">
        <v>10</v>
      </c>
      <c r="P103" s="32" t="s">
        <v>0</v>
      </c>
      <c r="Q103" s="139"/>
      <c r="R103" s="334"/>
      <c r="S103" s="133">
        <f>VLOOKUP($E103,R.VL_DEQResourcesInvolved,2,FALSE)</f>
        <v>0</v>
      </c>
      <c r="T103" s="121">
        <f>VLOOKUP($E103,R.VL_DEQResourcesInvolved,3,FALSE)</f>
        <v>0</v>
      </c>
      <c r="U103" s="121">
        <f>IF(S103=10,T103,VLOOKUP($E103,R.VL_DEQResourcesInvolved,4,FALSE))</f>
        <v>0</v>
      </c>
      <c r="V103" s="64"/>
      <c r="W103" s="64"/>
      <c r="X103" s="64"/>
      <c r="Y103" s="64"/>
      <c r="Z103" s="64"/>
      <c r="AA103" s="64"/>
      <c r="AB103" s="64"/>
      <c r="AC103" s="64"/>
      <c r="AD103" s="130"/>
      <c r="AE103" s="130"/>
      <c r="AF103" s="130"/>
      <c r="AG103" s="130"/>
    </row>
    <row r="104" spans="1:33" s="28" customFormat="1" ht="15.75" hidden="1" customHeight="1" outlineLevel="1">
      <c r="A104" s="117"/>
      <c r="B104" s="334"/>
      <c r="C104" s="138"/>
      <c r="D104" s="36" t="s">
        <v>0</v>
      </c>
      <c r="E104" s="30" t="s">
        <v>229</v>
      </c>
      <c r="F104" s="71">
        <v>1</v>
      </c>
      <c r="G104" s="72">
        <v>2</v>
      </c>
      <c r="H104" s="73">
        <v>3</v>
      </c>
      <c r="I104" s="74">
        <v>4</v>
      </c>
      <c r="J104" s="75">
        <v>5</v>
      </c>
      <c r="K104" s="76">
        <v>6</v>
      </c>
      <c r="L104" s="77">
        <v>7</v>
      </c>
      <c r="M104" s="78">
        <v>8</v>
      </c>
      <c r="N104" s="79">
        <v>9</v>
      </c>
      <c r="O104" s="80">
        <v>10</v>
      </c>
      <c r="P104" s="32" t="s">
        <v>0</v>
      </c>
      <c r="Q104" s="139"/>
      <c r="R104" s="334"/>
      <c r="S104" s="133">
        <f>VLOOKUP($E104,R.VL_DEQResourcesInvolved,2,FALSE)</f>
        <v>0</v>
      </c>
      <c r="T104" s="121">
        <f>VLOOKUP($E104,R.VL_DEQResourcesInvolved,3,FALSE)</f>
        <v>0</v>
      </c>
      <c r="U104" s="121">
        <f>IF(S104=10,T104,VLOOKUP($E104,R.VL_DEQResourcesInvolved,4,FALSE))</f>
        <v>0</v>
      </c>
      <c r="V104" s="64"/>
      <c r="W104" s="64"/>
      <c r="X104" s="64"/>
      <c r="Y104" s="64"/>
      <c r="Z104" s="64"/>
      <c r="AA104" s="64"/>
      <c r="AB104" s="64"/>
      <c r="AC104" s="64"/>
      <c r="AD104" s="130"/>
      <c r="AE104" s="130"/>
      <c r="AF104" s="130"/>
      <c r="AG104" s="130"/>
    </row>
    <row r="105" spans="1:33" s="28" customFormat="1" ht="15.75" hidden="1" customHeight="1" outlineLevel="1">
      <c r="A105" s="117"/>
      <c r="B105" s="334"/>
      <c r="C105" s="138"/>
      <c r="D105" s="36" t="s">
        <v>0</v>
      </c>
      <c r="E105" s="30" t="s">
        <v>229</v>
      </c>
      <c r="F105" s="71">
        <v>1</v>
      </c>
      <c r="G105" s="72">
        <v>2</v>
      </c>
      <c r="H105" s="73">
        <v>3</v>
      </c>
      <c r="I105" s="74">
        <v>4</v>
      </c>
      <c r="J105" s="75">
        <v>5</v>
      </c>
      <c r="K105" s="76">
        <v>6</v>
      </c>
      <c r="L105" s="77">
        <v>7</v>
      </c>
      <c r="M105" s="78">
        <v>8</v>
      </c>
      <c r="N105" s="79">
        <v>9</v>
      </c>
      <c r="O105" s="80">
        <v>10</v>
      </c>
      <c r="P105" s="32" t="s">
        <v>0</v>
      </c>
      <c r="Q105" s="139"/>
      <c r="R105" s="334"/>
      <c r="S105" s="133">
        <f>VLOOKUP($E105,R.VL_DEQResourcesInvolved,2,FALSE)</f>
        <v>0</v>
      </c>
      <c r="T105" s="121">
        <f>VLOOKUP($E105,R.VL_DEQResourcesInvolved,3,FALSE)</f>
        <v>0</v>
      </c>
      <c r="U105" s="121">
        <f>IF(S105=10,T105,VLOOKUP($E105,R.VL_DEQResourcesInvolved,4,FALSE))</f>
        <v>0</v>
      </c>
      <c r="V105" s="64"/>
      <c r="W105" s="64"/>
      <c r="X105" s="64"/>
      <c r="Y105" s="64"/>
      <c r="Z105" s="64"/>
      <c r="AA105" s="64"/>
      <c r="AB105" s="64"/>
      <c r="AC105" s="64"/>
      <c r="AD105" s="130"/>
      <c r="AE105" s="130"/>
      <c r="AF105" s="130"/>
      <c r="AG105" s="130"/>
    </row>
    <row r="106" spans="1:33" s="28" customFormat="1" ht="14.25" customHeight="1" collapsed="1">
      <c r="A106" s="117"/>
      <c r="B106" s="334"/>
      <c r="C106" s="376"/>
      <c r="D106" s="481"/>
      <c r="E106" s="739"/>
      <c r="F106" s="739"/>
      <c r="G106" s="739"/>
      <c r="H106" s="739"/>
      <c r="I106" s="739"/>
      <c r="J106" s="739"/>
      <c r="K106" s="739"/>
      <c r="L106" s="739"/>
      <c r="M106" s="739"/>
      <c r="N106" s="739"/>
      <c r="O106" s="739"/>
      <c r="P106" s="739"/>
      <c r="Q106" s="379"/>
      <c r="R106" s="334"/>
      <c r="S106" s="132"/>
      <c r="T106" s="131"/>
      <c r="U106" s="131"/>
      <c r="V106" s="64"/>
      <c r="W106" s="64"/>
      <c r="X106" s="64"/>
      <c r="Y106" s="64"/>
      <c r="Z106" s="64"/>
      <c r="AA106" s="64"/>
      <c r="AB106" s="64"/>
      <c r="AC106" s="64"/>
      <c r="AD106" s="130"/>
      <c r="AE106" s="130"/>
      <c r="AF106" s="130"/>
      <c r="AG106" s="130"/>
    </row>
    <row r="107" spans="1:33" s="29" customFormat="1" ht="30" customHeight="1">
      <c r="A107" s="118"/>
      <c r="B107" s="334"/>
      <c r="C107" s="146"/>
      <c r="D107" s="644" t="str">
        <f>"Please suggest process improvements to the "&amp;D2&amp;" worksheet."</f>
        <v>Please suggest process improvements to the Intergovernmental worksheet.</v>
      </c>
      <c r="E107" s="644"/>
      <c r="F107" s="644"/>
      <c r="G107" s="644"/>
      <c r="H107" s="644"/>
      <c r="I107" s="87"/>
      <c r="J107" s="88"/>
      <c r="K107" s="89"/>
      <c r="L107" s="90"/>
      <c r="M107" s="91"/>
      <c r="N107" s="92"/>
      <c r="O107" s="93"/>
      <c r="P107" s="39"/>
      <c r="Q107" s="147"/>
      <c r="R107" s="334"/>
      <c r="S107" s="134"/>
      <c r="T107" s="131"/>
      <c r="U107" s="131"/>
      <c r="V107" s="64"/>
      <c r="W107" s="64"/>
      <c r="X107" s="64"/>
      <c r="Y107" s="64"/>
      <c r="Z107" s="64"/>
      <c r="AA107" s="64"/>
      <c r="AB107" s="64"/>
      <c r="AC107" s="64"/>
      <c r="AD107" s="65"/>
      <c r="AE107" s="65"/>
      <c r="AF107" s="65"/>
      <c r="AG107" s="65"/>
    </row>
    <row r="108" spans="1:33" s="6" customFormat="1" ht="30.75" customHeight="1">
      <c r="A108" s="114"/>
      <c r="B108" s="334"/>
      <c r="C108" s="136"/>
      <c r="D108" s="641"/>
      <c r="E108" s="642"/>
      <c r="F108" s="642"/>
      <c r="G108" s="642"/>
      <c r="H108" s="642"/>
      <c r="I108" s="642"/>
      <c r="J108" s="642"/>
      <c r="K108" s="642"/>
      <c r="L108" s="642"/>
      <c r="M108" s="642"/>
      <c r="N108" s="642"/>
      <c r="O108" s="642"/>
      <c r="P108" s="643"/>
      <c r="Q108" s="148"/>
      <c r="R108" s="334"/>
      <c r="S108" s="132"/>
      <c r="T108" s="131"/>
      <c r="U108" s="131"/>
      <c r="V108" s="64"/>
      <c r="W108" s="64"/>
      <c r="X108" s="64"/>
      <c r="Y108" s="64"/>
      <c r="Z108" s="64"/>
      <c r="AA108" s="64"/>
      <c r="AB108" s="64"/>
      <c r="AC108" s="64"/>
      <c r="AD108" s="66"/>
      <c r="AE108" s="66"/>
      <c r="AF108" s="66"/>
      <c r="AG108" s="66"/>
    </row>
    <row r="109" spans="1:33" ht="18" customHeight="1">
      <c r="A109" s="350" t="s">
        <v>108</v>
      </c>
      <c r="B109" s="334"/>
      <c r="C109" s="149"/>
      <c r="D109" s="150"/>
      <c r="E109" s="150"/>
      <c r="F109" s="150"/>
      <c r="G109" s="150"/>
      <c r="H109" s="150"/>
      <c r="I109" s="150"/>
      <c r="J109" s="150"/>
      <c r="K109" s="150"/>
      <c r="L109" s="150"/>
      <c r="M109" s="150"/>
      <c r="N109" s="150"/>
      <c r="O109" s="150"/>
      <c r="P109" s="150"/>
      <c r="Q109" s="151"/>
      <c r="R109" s="334"/>
    </row>
    <row r="110" spans="1:33" s="64" customFormat="1" ht="14.25" customHeight="1">
      <c r="B110" s="334"/>
      <c r="C110" s="334"/>
      <c r="D110" s="334"/>
      <c r="E110" s="334"/>
      <c r="F110" s="334"/>
      <c r="G110" s="334"/>
      <c r="H110" s="334"/>
      <c r="I110" s="334"/>
      <c r="J110" s="334"/>
      <c r="K110" s="334"/>
      <c r="L110" s="334"/>
      <c r="M110" s="334"/>
      <c r="N110" s="334"/>
      <c r="O110" s="334"/>
      <c r="P110" s="334"/>
      <c r="Q110" s="334"/>
      <c r="R110" s="334"/>
      <c r="S110" s="113"/>
    </row>
    <row r="111" spans="1:33" s="64" customFormat="1" ht="201" customHeight="1">
      <c r="C111" s="112"/>
      <c r="S111" s="113"/>
    </row>
    <row r="112" spans="1:33" s="64" customFormat="1">
      <c r="C112" s="112"/>
      <c r="S112" s="113"/>
    </row>
    <row r="113" spans="3:19" s="64" customFormat="1">
      <c r="C113" s="112"/>
      <c r="S113" s="113"/>
    </row>
    <row r="114" spans="3:19" s="64" customFormat="1">
      <c r="C114" s="112"/>
      <c r="S114" s="113"/>
    </row>
    <row r="115" spans="3:19" s="64" customFormat="1">
      <c r="C115" s="112"/>
      <c r="S115" s="113"/>
    </row>
    <row r="116" spans="3:19" s="64" customFormat="1">
      <c r="C116" s="112"/>
      <c r="S116" s="113"/>
    </row>
  </sheetData>
  <sheetProtection sheet="1" scenarios="1" formatCells="0" formatRows="0" insertHyperlinks="0"/>
  <mergeCells count="41">
    <mergeCell ref="E26:P26"/>
    <mergeCell ref="F21:O21"/>
    <mergeCell ref="D13:P13"/>
    <mergeCell ref="E2:P2"/>
    <mergeCell ref="M3:P3"/>
    <mergeCell ref="F4:L4"/>
    <mergeCell ref="M4:P4"/>
    <mergeCell ref="F5:L5"/>
    <mergeCell ref="M5:P5"/>
    <mergeCell ref="D7:P7"/>
    <mergeCell ref="D8:P8"/>
    <mergeCell ref="D9:P9"/>
    <mergeCell ref="F14:O14"/>
    <mergeCell ref="D20:P20"/>
    <mergeCell ref="F69:O69"/>
    <mergeCell ref="F85:O85"/>
    <mergeCell ref="E58:P58"/>
    <mergeCell ref="E74:P74"/>
    <mergeCell ref="D61:P61"/>
    <mergeCell ref="D68:P68"/>
    <mergeCell ref="F53:O53"/>
    <mergeCell ref="F62:O62"/>
    <mergeCell ref="D52:P52"/>
    <mergeCell ref="D29:P29"/>
    <mergeCell ref="D36:P36"/>
    <mergeCell ref="E42:P42"/>
    <mergeCell ref="D45:P45"/>
    <mergeCell ref="F46:O46"/>
    <mergeCell ref="F30:O30"/>
    <mergeCell ref="F37:O37"/>
    <mergeCell ref="D108:P108"/>
    <mergeCell ref="D77:P77"/>
    <mergeCell ref="F78:O78"/>
    <mergeCell ref="D84:P84"/>
    <mergeCell ref="E90:P90"/>
    <mergeCell ref="D107:H107"/>
    <mergeCell ref="D93:P93"/>
    <mergeCell ref="F94:O94"/>
    <mergeCell ref="D100:P100"/>
    <mergeCell ref="F101:O101"/>
    <mergeCell ref="E106:P106"/>
  </mergeCells>
  <conditionalFormatting sqref="F26:O27 F109:O109 I107:O107">
    <cfRule type="colorScale" priority="737">
      <colorScale>
        <cfvo type="num" val="0"/>
        <cfvo type="num" val="5"/>
        <cfvo type="num" val="10"/>
        <color rgb="FF00B050"/>
        <color rgb="FFFFFF00"/>
        <color rgb="FFFF0000"/>
      </colorScale>
    </cfRule>
  </conditionalFormatting>
  <conditionalFormatting sqref="N26:N27 N107 N109">
    <cfRule type="expression" dxfId="969" priority="736" stopIfTrue="1">
      <formula>IF($S26&lt;9,TRUE,)</formula>
    </cfRule>
  </conditionalFormatting>
  <conditionalFormatting sqref="M26:M27 M107 M109">
    <cfRule type="expression" dxfId="968" priority="735" stopIfTrue="1">
      <formula>IF($S26&lt;8,TRUE,)</formula>
    </cfRule>
  </conditionalFormatting>
  <conditionalFormatting sqref="L26:L27 L107 L109">
    <cfRule type="expression" dxfId="967" priority="734" stopIfTrue="1">
      <formula>IF($S26&lt;7,TRUE,)</formula>
    </cfRule>
  </conditionalFormatting>
  <conditionalFormatting sqref="K26:K27 K107 K109">
    <cfRule type="expression" dxfId="966" priority="733" stopIfTrue="1">
      <formula>IF($S26&lt;6,TRUE,)</formula>
    </cfRule>
  </conditionalFormatting>
  <conditionalFormatting sqref="J26:J27 J107 J109">
    <cfRule type="expression" dxfId="965" priority="732" stopIfTrue="1">
      <formula>IF($S26&lt;5,TRUE,)</formula>
    </cfRule>
  </conditionalFormatting>
  <conditionalFormatting sqref="I26:I27 I107 I109">
    <cfRule type="expression" dxfId="964" priority="731" stopIfTrue="1">
      <formula>IF($S26&lt;4,TRUE,)</formula>
    </cfRule>
  </conditionalFormatting>
  <conditionalFormatting sqref="H26:H27 H109">
    <cfRule type="expression" dxfId="963" priority="730" stopIfTrue="1">
      <formula>IF($S26&lt;3,TRUE,)</formula>
    </cfRule>
  </conditionalFormatting>
  <conditionalFormatting sqref="G26:G27 G109">
    <cfRule type="expression" dxfId="962" priority="729" stopIfTrue="1">
      <formula>IF($S26&lt;2,TRUE,)</formula>
    </cfRule>
  </conditionalFormatting>
  <conditionalFormatting sqref="F26:F27 F109">
    <cfRule type="expression" dxfId="961" priority="728" stopIfTrue="1">
      <formula>IF($S26&lt;1,TRUE,)</formula>
    </cfRule>
  </conditionalFormatting>
  <conditionalFormatting sqref="O26:O27 O107 O109">
    <cfRule type="expression" dxfId="960" priority="727" stopIfTrue="1">
      <formula>IF($S26&lt;10,TRUE,)</formula>
    </cfRule>
  </conditionalFormatting>
  <conditionalFormatting sqref="F15:O16">
    <cfRule type="colorScale" priority="726">
      <colorScale>
        <cfvo type="num" val="0"/>
        <cfvo type="num" val="5"/>
        <cfvo type="num" val="10"/>
        <color rgb="FF00B050"/>
        <color rgb="FFFFFF00"/>
        <color rgb="FFFF0000"/>
      </colorScale>
    </cfRule>
  </conditionalFormatting>
  <conditionalFormatting sqref="N15:N16">
    <cfRule type="expression" dxfId="959" priority="725" stopIfTrue="1">
      <formula>IF($S15&lt;9,TRUE,)</formula>
    </cfRule>
  </conditionalFormatting>
  <conditionalFormatting sqref="M15:M16">
    <cfRule type="expression" dxfId="958" priority="724" stopIfTrue="1">
      <formula>IF($S15&lt;8,TRUE,)</formula>
    </cfRule>
  </conditionalFormatting>
  <conditionalFormatting sqref="L15:L16">
    <cfRule type="expression" dxfId="957" priority="723" stopIfTrue="1">
      <formula>IF($S15&lt;7,TRUE,)</formula>
    </cfRule>
  </conditionalFormatting>
  <conditionalFormatting sqref="K15:K16">
    <cfRule type="expression" dxfId="956" priority="722" stopIfTrue="1">
      <formula>IF($S15&lt;6,TRUE,)</formula>
    </cfRule>
  </conditionalFormatting>
  <conditionalFormatting sqref="J15:J16">
    <cfRule type="expression" dxfId="955" priority="721" stopIfTrue="1">
      <formula>IF($S15&lt;5,TRUE,)</formula>
    </cfRule>
  </conditionalFormatting>
  <conditionalFormatting sqref="I15:I16">
    <cfRule type="expression" dxfId="954" priority="720" stopIfTrue="1">
      <formula>IF($S15&lt;4,TRUE,)</formula>
    </cfRule>
  </conditionalFormatting>
  <conditionalFormatting sqref="H15:H16">
    <cfRule type="expression" dxfId="953" priority="719" stopIfTrue="1">
      <formula>IF($S15&lt;3,TRUE,)</formula>
    </cfRule>
  </conditionalFormatting>
  <conditionalFormatting sqref="G15:G16">
    <cfRule type="expression" dxfId="952" priority="718" stopIfTrue="1">
      <formula>IF($S15&lt;2,TRUE,)</formula>
    </cfRule>
  </conditionalFormatting>
  <conditionalFormatting sqref="F15:F16">
    <cfRule type="expression" dxfId="951" priority="717" stopIfTrue="1">
      <formula>IF($S15&lt;1,TRUE,)</formula>
    </cfRule>
  </conditionalFormatting>
  <conditionalFormatting sqref="O15:O16">
    <cfRule type="expression" dxfId="950" priority="716" stopIfTrue="1">
      <formula>IF($S15&lt;10,TRUE,)</formula>
    </cfRule>
  </conditionalFormatting>
  <conditionalFormatting sqref="F22:O23">
    <cfRule type="colorScale" priority="715">
      <colorScale>
        <cfvo type="num" val="0"/>
        <cfvo type="num" val="5"/>
        <cfvo type="num" val="10"/>
        <color rgb="FF00B050"/>
        <color rgb="FFFFFF00"/>
        <color rgb="FFFF0000"/>
      </colorScale>
    </cfRule>
  </conditionalFormatting>
  <conditionalFormatting sqref="N22:N23">
    <cfRule type="expression" dxfId="949" priority="714" stopIfTrue="1">
      <formula>IF($S22&lt;9,TRUE,)</formula>
    </cfRule>
  </conditionalFormatting>
  <conditionalFormatting sqref="M22:M23">
    <cfRule type="expression" dxfId="948" priority="713" stopIfTrue="1">
      <formula>IF($S22&lt;8,TRUE,)</formula>
    </cfRule>
  </conditionalFormatting>
  <conditionalFormatting sqref="L22:L23">
    <cfRule type="expression" dxfId="947" priority="712" stopIfTrue="1">
      <formula>IF($S22&lt;7,TRUE,)</formula>
    </cfRule>
  </conditionalFormatting>
  <conditionalFormatting sqref="K22:K23">
    <cfRule type="expression" dxfId="946" priority="711" stopIfTrue="1">
      <formula>IF($S22&lt;6,TRUE,)</formula>
    </cfRule>
  </conditionalFormatting>
  <conditionalFormatting sqref="J22:J23">
    <cfRule type="expression" dxfId="945" priority="710" stopIfTrue="1">
      <formula>IF($S22&lt;5,TRUE,)</formula>
    </cfRule>
  </conditionalFormatting>
  <conditionalFormatting sqref="I22:I23">
    <cfRule type="expression" dxfId="944" priority="709" stopIfTrue="1">
      <formula>IF($S22&lt;4,TRUE,)</formula>
    </cfRule>
  </conditionalFormatting>
  <conditionalFormatting sqref="H22:H23">
    <cfRule type="expression" dxfId="943" priority="708" stopIfTrue="1">
      <formula>IF($S22&lt;3,TRUE,)</formula>
    </cfRule>
  </conditionalFormatting>
  <conditionalFormatting sqref="G22:G23">
    <cfRule type="expression" dxfId="942" priority="707" stopIfTrue="1">
      <formula>IF($S22&lt;2,TRUE,)</formula>
    </cfRule>
  </conditionalFormatting>
  <conditionalFormatting sqref="F22:F23">
    <cfRule type="expression" dxfId="941" priority="706" stopIfTrue="1">
      <formula>IF($S22&lt;1,TRUE,)</formula>
    </cfRule>
  </conditionalFormatting>
  <conditionalFormatting sqref="O22:O23">
    <cfRule type="expression" dxfId="940" priority="705" stopIfTrue="1">
      <formula>IF($S22&lt;10,TRUE,)</formula>
    </cfRule>
  </conditionalFormatting>
  <conditionalFormatting sqref="F42:O42">
    <cfRule type="colorScale" priority="704">
      <colorScale>
        <cfvo type="num" val="0"/>
        <cfvo type="num" val="5"/>
        <cfvo type="num" val="10"/>
        <color rgb="FF00B050"/>
        <color rgb="FFFFFF00"/>
        <color rgb="FFFF0000"/>
      </colorScale>
    </cfRule>
  </conditionalFormatting>
  <conditionalFormatting sqref="N42">
    <cfRule type="expression" dxfId="939" priority="703" stopIfTrue="1">
      <formula>IF($S42&lt;9,TRUE,)</formula>
    </cfRule>
  </conditionalFormatting>
  <conditionalFormatting sqref="M42">
    <cfRule type="expression" dxfId="938" priority="702" stopIfTrue="1">
      <formula>IF($S42&lt;8,TRUE,)</formula>
    </cfRule>
  </conditionalFormatting>
  <conditionalFormatting sqref="L42">
    <cfRule type="expression" dxfId="937" priority="701" stopIfTrue="1">
      <formula>IF($S42&lt;7,TRUE,)</formula>
    </cfRule>
  </conditionalFormatting>
  <conditionalFormatting sqref="K42">
    <cfRule type="expression" dxfId="936" priority="700" stopIfTrue="1">
      <formula>IF($S42&lt;6,TRUE,)</formula>
    </cfRule>
  </conditionalFormatting>
  <conditionalFormatting sqref="J42">
    <cfRule type="expression" dxfId="935" priority="699" stopIfTrue="1">
      <formula>IF($S42&lt;5,TRUE,)</formula>
    </cfRule>
  </conditionalFormatting>
  <conditionalFormatting sqref="I42">
    <cfRule type="expression" dxfId="934" priority="698" stopIfTrue="1">
      <formula>IF($S42&lt;4,TRUE,)</formula>
    </cfRule>
  </conditionalFormatting>
  <conditionalFormatting sqref="H42">
    <cfRule type="expression" dxfId="933" priority="697" stopIfTrue="1">
      <formula>IF($S42&lt;3,TRUE,)</formula>
    </cfRule>
  </conditionalFormatting>
  <conditionalFormatting sqref="G42">
    <cfRule type="expression" dxfId="932" priority="696" stopIfTrue="1">
      <formula>IF($S42&lt;2,TRUE,)</formula>
    </cfRule>
  </conditionalFormatting>
  <conditionalFormatting sqref="F42">
    <cfRule type="expression" dxfId="931" priority="695" stopIfTrue="1">
      <formula>IF($S42&lt;1,TRUE,)</formula>
    </cfRule>
  </conditionalFormatting>
  <conditionalFormatting sqref="O42">
    <cfRule type="expression" dxfId="930" priority="694" stopIfTrue="1">
      <formula>IF($S42&lt;10,TRUE,)</formula>
    </cfRule>
  </conditionalFormatting>
  <conditionalFormatting sqref="F31:O32">
    <cfRule type="colorScale" priority="693">
      <colorScale>
        <cfvo type="num" val="0"/>
        <cfvo type="num" val="5"/>
        <cfvo type="num" val="10"/>
        <color rgb="FF00B050"/>
        <color rgb="FFFFFF00"/>
        <color rgb="FFFF0000"/>
      </colorScale>
    </cfRule>
  </conditionalFormatting>
  <conditionalFormatting sqref="N31:N32">
    <cfRule type="expression" dxfId="929" priority="692" stopIfTrue="1">
      <formula>IF($S31&lt;9,TRUE,)</formula>
    </cfRule>
  </conditionalFormatting>
  <conditionalFormatting sqref="M31:M32">
    <cfRule type="expression" dxfId="928" priority="691" stopIfTrue="1">
      <formula>IF($S31&lt;8,TRUE,)</formula>
    </cfRule>
  </conditionalFormatting>
  <conditionalFormatting sqref="L31:L32">
    <cfRule type="expression" dxfId="927" priority="690" stopIfTrue="1">
      <formula>IF($S31&lt;7,TRUE,)</formula>
    </cfRule>
  </conditionalFormatting>
  <conditionalFormatting sqref="K31:K32">
    <cfRule type="expression" dxfId="926" priority="689" stopIfTrue="1">
      <formula>IF($S31&lt;6,TRUE,)</formula>
    </cfRule>
  </conditionalFormatting>
  <conditionalFormatting sqref="J31:J32">
    <cfRule type="expression" dxfId="925" priority="688" stopIfTrue="1">
      <formula>IF($S31&lt;5,TRUE,)</formula>
    </cfRule>
  </conditionalFormatting>
  <conditionalFormatting sqref="I31:I32">
    <cfRule type="expression" dxfId="924" priority="687" stopIfTrue="1">
      <formula>IF($S31&lt;4,TRUE,)</formula>
    </cfRule>
  </conditionalFormatting>
  <conditionalFormatting sqref="H31:H32">
    <cfRule type="expression" dxfId="923" priority="686" stopIfTrue="1">
      <formula>IF($S31&lt;3,TRUE,)</formula>
    </cfRule>
  </conditionalFormatting>
  <conditionalFormatting sqref="G31:G32">
    <cfRule type="expression" dxfId="922" priority="685" stopIfTrue="1">
      <formula>IF($S31&lt;2,TRUE,)</formula>
    </cfRule>
  </conditionalFormatting>
  <conditionalFormatting sqref="F31:F32">
    <cfRule type="expression" dxfId="921" priority="684" stopIfTrue="1">
      <formula>IF($S31&lt;1,TRUE,)</formula>
    </cfRule>
  </conditionalFormatting>
  <conditionalFormatting sqref="O31:O32">
    <cfRule type="expression" dxfId="920" priority="683" stopIfTrue="1">
      <formula>IF($S31&lt;10,TRUE,)</formula>
    </cfRule>
  </conditionalFormatting>
  <conditionalFormatting sqref="F38:O39">
    <cfRule type="colorScale" priority="682">
      <colorScale>
        <cfvo type="num" val="0"/>
        <cfvo type="num" val="5"/>
        <cfvo type="num" val="10"/>
        <color rgb="FF00B050"/>
        <color rgb="FFFFFF00"/>
        <color rgb="FFFF0000"/>
      </colorScale>
    </cfRule>
  </conditionalFormatting>
  <conditionalFormatting sqref="N38:N39">
    <cfRule type="expression" dxfId="919" priority="681" stopIfTrue="1">
      <formula>IF($S38&lt;9,TRUE,)</formula>
    </cfRule>
  </conditionalFormatting>
  <conditionalFormatting sqref="M38:M39">
    <cfRule type="expression" dxfId="918" priority="680" stopIfTrue="1">
      <formula>IF($S38&lt;8,TRUE,)</formula>
    </cfRule>
  </conditionalFormatting>
  <conditionalFormatting sqref="L38:L39">
    <cfRule type="expression" dxfId="917" priority="679" stopIfTrue="1">
      <formula>IF($S38&lt;7,TRUE,)</formula>
    </cfRule>
  </conditionalFormatting>
  <conditionalFormatting sqref="K38:K39">
    <cfRule type="expression" dxfId="916" priority="678" stopIfTrue="1">
      <formula>IF($S38&lt;6,TRUE,)</formula>
    </cfRule>
  </conditionalFormatting>
  <conditionalFormatting sqref="J38:J39">
    <cfRule type="expression" dxfId="915" priority="677" stopIfTrue="1">
      <formula>IF($S38&lt;5,TRUE,)</formula>
    </cfRule>
  </conditionalFormatting>
  <conditionalFormatting sqref="I38:I39">
    <cfRule type="expression" dxfId="914" priority="676" stopIfTrue="1">
      <formula>IF($S38&lt;4,TRUE,)</formula>
    </cfRule>
  </conditionalFormatting>
  <conditionalFormatting sqref="H38:H39">
    <cfRule type="expression" dxfId="913" priority="675" stopIfTrue="1">
      <formula>IF($S38&lt;3,TRUE,)</formula>
    </cfRule>
  </conditionalFormatting>
  <conditionalFormatting sqref="G38:G39">
    <cfRule type="expression" dxfId="912" priority="674" stopIfTrue="1">
      <formula>IF($S38&lt;2,TRUE,)</formula>
    </cfRule>
  </conditionalFormatting>
  <conditionalFormatting sqref="F38:F39">
    <cfRule type="expression" dxfId="911" priority="673" stopIfTrue="1">
      <formula>IF($S38&lt;1,TRUE,)</formula>
    </cfRule>
  </conditionalFormatting>
  <conditionalFormatting sqref="O38:O39">
    <cfRule type="expression" dxfId="910" priority="672" stopIfTrue="1">
      <formula>IF($S38&lt;10,TRUE,)</formula>
    </cfRule>
  </conditionalFormatting>
  <conditionalFormatting sqref="F17:O18">
    <cfRule type="colorScale" priority="671">
      <colorScale>
        <cfvo type="num" val="0"/>
        <cfvo type="num" val="5"/>
        <cfvo type="num" val="10"/>
        <color rgb="FF00B050"/>
        <color rgb="FFFFFF00"/>
        <color rgb="FFFF0000"/>
      </colorScale>
    </cfRule>
  </conditionalFormatting>
  <conditionalFormatting sqref="N17:N18">
    <cfRule type="expression" dxfId="909" priority="670" stopIfTrue="1">
      <formula>IF($S17&lt;9,TRUE,)</formula>
    </cfRule>
  </conditionalFormatting>
  <conditionalFormatting sqref="M17:M18">
    <cfRule type="expression" dxfId="908" priority="669" stopIfTrue="1">
      <formula>IF($S17&lt;8,TRUE,)</formula>
    </cfRule>
  </conditionalFormatting>
  <conditionalFormatting sqref="L17:L18">
    <cfRule type="expression" dxfId="907" priority="668" stopIfTrue="1">
      <formula>IF($S17&lt;7,TRUE,)</formula>
    </cfRule>
  </conditionalFormatting>
  <conditionalFormatting sqref="K17:K18">
    <cfRule type="expression" dxfId="906" priority="667" stopIfTrue="1">
      <formula>IF($S17&lt;6,TRUE,)</formula>
    </cfRule>
  </conditionalFormatting>
  <conditionalFormatting sqref="J17:J18">
    <cfRule type="expression" dxfId="905" priority="666" stopIfTrue="1">
      <formula>IF($S17&lt;5,TRUE,)</formula>
    </cfRule>
  </conditionalFormatting>
  <conditionalFormatting sqref="I17:I18">
    <cfRule type="expression" dxfId="904" priority="665" stopIfTrue="1">
      <formula>IF($S17&lt;4,TRUE,)</formula>
    </cfRule>
  </conditionalFormatting>
  <conditionalFormatting sqref="H17:H18">
    <cfRule type="expression" dxfId="903" priority="664" stopIfTrue="1">
      <formula>IF($S17&lt;3,TRUE,)</formula>
    </cfRule>
  </conditionalFormatting>
  <conditionalFormatting sqref="G17:G18">
    <cfRule type="expression" dxfId="902" priority="663" stopIfTrue="1">
      <formula>IF($S17&lt;2,TRUE,)</formula>
    </cfRule>
  </conditionalFormatting>
  <conditionalFormatting sqref="F17:F18">
    <cfRule type="expression" dxfId="901" priority="662" stopIfTrue="1">
      <formula>IF($S17&lt;1,TRUE,)</formula>
    </cfRule>
  </conditionalFormatting>
  <conditionalFormatting sqref="O17:O18">
    <cfRule type="expression" dxfId="900" priority="661" stopIfTrue="1">
      <formula>IF($S17&lt;10,TRUE,)</formula>
    </cfRule>
  </conditionalFormatting>
  <conditionalFormatting sqref="F24:O25">
    <cfRule type="colorScale" priority="660">
      <colorScale>
        <cfvo type="num" val="0"/>
        <cfvo type="num" val="5"/>
        <cfvo type="num" val="10"/>
        <color rgb="FF00B050"/>
        <color rgb="FFFFFF00"/>
        <color rgb="FFFF0000"/>
      </colorScale>
    </cfRule>
  </conditionalFormatting>
  <conditionalFormatting sqref="N24:N25">
    <cfRule type="expression" dxfId="899" priority="659" stopIfTrue="1">
      <formula>IF($S24&lt;9,TRUE,)</formula>
    </cfRule>
  </conditionalFormatting>
  <conditionalFormatting sqref="M24:M25">
    <cfRule type="expression" dxfId="898" priority="658" stopIfTrue="1">
      <formula>IF($S24&lt;8,TRUE,)</formula>
    </cfRule>
  </conditionalFormatting>
  <conditionalFormatting sqref="L24:L25">
    <cfRule type="expression" dxfId="897" priority="657" stopIfTrue="1">
      <formula>IF($S24&lt;7,TRUE,)</formula>
    </cfRule>
  </conditionalFormatting>
  <conditionalFormatting sqref="K24:K25">
    <cfRule type="expression" dxfId="896" priority="656" stopIfTrue="1">
      <formula>IF($S24&lt;6,TRUE,)</formula>
    </cfRule>
  </conditionalFormatting>
  <conditionalFormatting sqref="J24:J25">
    <cfRule type="expression" dxfId="895" priority="655" stopIfTrue="1">
      <formula>IF($S24&lt;5,TRUE,)</formula>
    </cfRule>
  </conditionalFormatting>
  <conditionalFormatting sqref="I24:I25">
    <cfRule type="expression" dxfId="894" priority="654" stopIfTrue="1">
      <formula>IF($S24&lt;4,TRUE,)</formula>
    </cfRule>
  </conditionalFormatting>
  <conditionalFormatting sqref="H24:H25">
    <cfRule type="expression" dxfId="893" priority="653" stopIfTrue="1">
      <formula>IF($S24&lt;3,TRUE,)</formula>
    </cfRule>
  </conditionalFormatting>
  <conditionalFormatting sqref="G24:G25">
    <cfRule type="expression" dxfId="892" priority="652" stopIfTrue="1">
      <formula>IF($S24&lt;2,TRUE,)</formula>
    </cfRule>
  </conditionalFormatting>
  <conditionalFormatting sqref="F24:F25">
    <cfRule type="expression" dxfId="891" priority="651" stopIfTrue="1">
      <formula>IF($S24&lt;1,TRUE,)</formula>
    </cfRule>
  </conditionalFormatting>
  <conditionalFormatting sqref="O24:O25">
    <cfRule type="expression" dxfId="890" priority="650" stopIfTrue="1">
      <formula>IF($S24&lt;10,TRUE,)</formula>
    </cfRule>
  </conditionalFormatting>
  <conditionalFormatting sqref="F33:O34">
    <cfRule type="colorScale" priority="649">
      <colorScale>
        <cfvo type="num" val="0"/>
        <cfvo type="num" val="5"/>
        <cfvo type="num" val="10"/>
        <color rgb="FF00B050"/>
        <color rgb="FFFFFF00"/>
        <color rgb="FFFF0000"/>
      </colorScale>
    </cfRule>
  </conditionalFormatting>
  <conditionalFormatting sqref="N33:N34">
    <cfRule type="expression" dxfId="889" priority="648" stopIfTrue="1">
      <formula>IF($S33&lt;9,TRUE,)</formula>
    </cfRule>
  </conditionalFormatting>
  <conditionalFormatting sqref="M33:M34">
    <cfRule type="expression" dxfId="888" priority="647" stopIfTrue="1">
      <formula>IF($S33&lt;8,TRUE,)</formula>
    </cfRule>
  </conditionalFormatting>
  <conditionalFormatting sqref="L33:L34">
    <cfRule type="expression" dxfId="887" priority="646" stopIfTrue="1">
      <formula>IF($S33&lt;7,TRUE,)</formula>
    </cfRule>
  </conditionalFormatting>
  <conditionalFormatting sqref="K33:K34">
    <cfRule type="expression" dxfId="886" priority="645" stopIfTrue="1">
      <formula>IF($S33&lt;6,TRUE,)</formula>
    </cfRule>
  </conditionalFormatting>
  <conditionalFormatting sqref="J33:J34">
    <cfRule type="expression" dxfId="885" priority="644" stopIfTrue="1">
      <formula>IF($S33&lt;5,TRUE,)</formula>
    </cfRule>
  </conditionalFormatting>
  <conditionalFormatting sqref="I33:I34">
    <cfRule type="expression" dxfId="884" priority="643" stopIfTrue="1">
      <formula>IF($S33&lt;4,TRUE,)</formula>
    </cfRule>
  </conditionalFormatting>
  <conditionalFormatting sqref="H33:H34">
    <cfRule type="expression" dxfId="883" priority="642" stopIfTrue="1">
      <formula>IF($S33&lt;3,TRUE,)</formula>
    </cfRule>
  </conditionalFormatting>
  <conditionalFormatting sqref="G33:G34">
    <cfRule type="expression" dxfId="882" priority="641" stopIfTrue="1">
      <formula>IF($S33&lt;2,TRUE,)</formula>
    </cfRule>
  </conditionalFormatting>
  <conditionalFormatting sqref="F33:F34">
    <cfRule type="expression" dxfId="881" priority="640" stopIfTrue="1">
      <formula>IF($S33&lt;1,TRUE,)</formula>
    </cfRule>
  </conditionalFormatting>
  <conditionalFormatting sqref="O33:O34">
    <cfRule type="expression" dxfId="880" priority="639" stopIfTrue="1">
      <formula>IF($S33&lt;10,TRUE,)</formula>
    </cfRule>
  </conditionalFormatting>
  <conditionalFormatting sqref="F40:O41">
    <cfRule type="colorScale" priority="638">
      <colorScale>
        <cfvo type="num" val="0"/>
        <cfvo type="num" val="5"/>
        <cfvo type="num" val="10"/>
        <color rgb="FF00B050"/>
        <color rgb="FFFFFF00"/>
        <color rgb="FFFF0000"/>
      </colorScale>
    </cfRule>
  </conditionalFormatting>
  <conditionalFormatting sqref="N40:N41">
    <cfRule type="expression" dxfId="879" priority="637" stopIfTrue="1">
      <formula>IF($S40&lt;9,TRUE,)</formula>
    </cfRule>
  </conditionalFormatting>
  <conditionalFormatting sqref="M40:M41">
    <cfRule type="expression" dxfId="878" priority="636" stopIfTrue="1">
      <formula>IF($S40&lt;8,TRUE,)</formula>
    </cfRule>
  </conditionalFormatting>
  <conditionalFormatting sqref="L40:L41">
    <cfRule type="expression" dxfId="877" priority="635" stopIfTrue="1">
      <formula>IF($S40&lt;7,TRUE,)</formula>
    </cfRule>
  </conditionalFormatting>
  <conditionalFormatting sqref="K40:K41">
    <cfRule type="expression" dxfId="876" priority="634" stopIfTrue="1">
      <formula>IF($S40&lt;6,TRUE,)</formula>
    </cfRule>
  </conditionalFormatting>
  <conditionalFormatting sqref="J40:J41">
    <cfRule type="expression" dxfId="875" priority="633" stopIfTrue="1">
      <formula>IF($S40&lt;5,TRUE,)</formula>
    </cfRule>
  </conditionalFormatting>
  <conditionalFormatting sqref="I40:I41">
    <cfRule type="expression" dxfId="874" priority="632" stopIfTrue="1">
      <formula>IF($S40&lt;4,TRUE,)</formula>
    </cfRule>
  </conditionalFormatting>
  <conditionalFormatting sqref="H40:H41">
    <cfRule type="expression" dxfId="873" priority="631" stopIfTrue="1">
      <formula>IF($S40&lt;3,TRUE,)</formula>
    </cfRule>
  </conditionalFormatting>
  <conditionalFormatting sqref="G40:G41">
    <cfRule type="expression" dxfId="872" priority="630" stopIfTrue="1">
      <formula>IF($S40&lt;2,TRUE,)</formula>
    </cfRule>
  </conditionalFormatting>
  <conditionalFormatting sqref="F40:F41">
    <cfRule type="expression" dxfId="871" priority="629" stopIfTrue="1">
      <formula>IF($S40&lt;1,TRUE,)</formula>
    </cfRule>
  </conditionalFormatting>
  <conditionalFormatting sqref="O40:O41">
    <cfRule type="expression" dxfId="870" priority="628" stopIfTrue="1">
      <formula>IF($S40&lt;10,TRUE,)</formula>
    </cfRule>
  </conditionalFormatting>
  <conditionalFormatting sqref="F58:O58">
    <cfRule type="colorScale" priority="627">
      <colorScale>
        <cfvo type="num" val="0"/>
        <cfvo type="num" val="5"/>
        <cfvo type="num" val="10"/>
        <color rgb="FF00B050"/>
        <color rgb="FFFFFF00"/>
        <color rgb="FFFF0000"/>
      </colorScale>
    </cfRule>
  </conditionalFormatting>
  <conditionalFormatting sqref="N58">
    <cfRule type="expression" dxfId="869" priority="626" stopIfTrue="1">
      <formula>IF($S58&lt;9,TRUE,)</formula>
    </cfRule>
  </conditionalFormatting>
  <conditionalFormatting sqref="M58">
    <cfRule type="expression" dxfId="868" priority="625" stopIfTrue="1">
      <formula>IF($S58&lt;8,TRUE,)</formula>
    </cfRule>
  </conditionalFormatting>
  <conditionalFormatting sqref="L58">
    <cfRule type="expression" dxfId="867" priority="624" stopIfTrue="1">
      <formula>IF($S58&lt;7,TRUE,)</formula>
    </cfRule>
  </conditionalFormatting>
  <conditionalFormatting sqref="K58">
    <cfRule type="expression" dxfId="866" priority="623" stopIfTrue="1">
      <formula>IF($S58&lt;6,TRUE,)</formula>
    </cfRule>
  </conditionalFormatting>
  <conditionalFormatting sqref="J58">
    <cfRule type="expression" dxfId="865" priority="622" stopIfTrue="1">
      <formula>IF($S58&lt;5,TRUE,)</formula>
    </cfRule>
  </conditionalFormatting>
  <conditionalFormatting sqref="I58">
    <cfRule type="expression" dxfId="864" priority="621" stopIfTrue="1">
      <formula>IF($S58&lt;4,TRUE,)</formula>
    </cfRule>
  </conditionalFormatting>
  <conditionalFormatting sqref="H58">
    <cfRule type="expression" dxfId="863" priority="620" stopIfTrue="1">
      <formula>IF($S58&lt;3,TRUE,)</formula>
    </cfRule>
  </conditionalFormatting>
  <conditionalFormatting sqref="G58">
    <cfRule type="expression" dxfId="862" priority="619" stopIfTrue="1">
      <formula>IF($S58&lt;2,TRUE,)</formula>
    </cfRule>
  </conditionalFormatting>
  <conditionalFormatting sqref="F58">
    <cfRule type="expression" dxfId="861" priority="618" stopIfTrue="1">
      <formula>IF($S58&lt;1,TRUE,)</formula>
    </cfRule>
  </conditionalFormatting>
  <conditionalFormatting sqref="O58">
    <cfRule type="expression" dxfId="860" priority="617" stopIfTrue="1">
      <formula>IF($S58&lt;10,TRUE,)</formula>
    </cfRule>
  </conditionalFormatting>
  <conditionalFormatting sqref="F47:O48">
    <cfRule type="colorScale" priority="616">
      <colorScale>
        <cfvo type="num" val="0"/>
        <cfvo type="num" val="5"/>
        <cfvo type="num" val="10"/>
        <color rgb="FF00B050"/>
        <color rgb="FFFFFF00"/>
        <color rgb="FFFF0000"/>
      </colorScale>
    </cfRule>
  </conditionalFormatting>
  <conditionalFormatting sqref="N47:N48">
    <cfRule type="expression" dxfId="859" priority="615" stopIfTrue="1">
      <formula>IF($S47&lt;9,TRUE,)</formula>
    </cfRule>
  </conditionalFormatting>
  <conditionalFormatting sqref="M47:M48">
    <cfRule type="expression" dxfId="858" priority="614" stopIfTrue="1">
      <formula>IF($S47&lt;8,TRUE,)</formula>
    </cfRule>
  </conditionalFormatting>
  <conditionalFormatting sqref="L47:L48">
    <cfRule type="expression" dxfId="857" priority="613" stopIfTrue="1">
      <formula>IF($S47&lt;7,TRUE,)</formula>
    </cfRule>
  </conditionalFormatting>
  <conditionalFormatting sqref="K47:K48">
    <cfRule type="expression" dxfId="856" priority="612" stopIfTrue="1">
      <formula>IF($S47&lt;6,TRUE,)</formula>
    </cfRule>
  </conditionalFormatting>
  <conditionalFormatting sqref="J47:J48">
    <cfRule type="expression" dxfId="855" priority="611" stopIfTrue="1">
      <formula>IF($S47&lt;5,TRUE,)</formula>
    </cfRule>
  </conditionalFormatting>
  <conditionalFormatting sqref="I47:I48">
    <cfRule type="expression" dxfId="854" priority="610" stopIfTrue="1">
      <formula>IF($S47&lt;4,TRUE,)</formula>
    </cfRule>
  </conditionalFormatting>
  <conditionalFormatting sqref="H47:H48">
    <cfRule type="expression" dxfId="853" priority="609" stopIfTrue="1">
      <formula>IF($S47&lt;3,TRUE,)</formula>
    </cfRule>
  </conditionalFormatting>
  <conditionalFormatting sqref="G47:G48">
    <cfRule type="expression" dxfId="852" priority="608" stopIfTrue="1">
      <formula>IF($S47&lt;2,TRUE,)</formula>
    </cfRule>
  </conditionalFormatting>
  <conditionalFormatting sqref="F47:F48">
    <cfRule type="expression" dxfId="851" priority="607" stopIfTrue="1">
      <formula>IF($S47&lt;1,TRUE,)</formula>
    </cfRule>
  </conditionalFormatting>
  <conditionalFormatting sqref="O47:O48">
    <cfRule type="expression" dxfId="850" priority="606" stopIfTrue="1">
      <formula>IF($S47&lt;10,TRUE,)</formula>
    </cfRule>
  </conditionalFormatting>
  <conditionalFormatting sqref="F54:O55">
    <cfRule type="colorScale" priority="605">
      <colorScale>
        <cfvo type="num" val="0"/>
        <cfvo type="num" val="5"/>
        <cfvo type="num" val="10"/>
        <color rgb="FF00B050"/>
        <color rgb="FFFFFF00"/>
        <color rgb="FFFF0000"/>
      </colorScale>
    </cfRule>
  </conditionalFormatting>
  <conditionalFormatting sqref="N54:N55">
    <cfRule type="expression" dxfId="849" priority="604" stopIfTrue="1">
      <formula>IF($S54&lt;9,TRUE,)</formula>
    </cfRule>
  </conditionalFormatting>
  <conditionalFormatting sqref="M54:M55">
    <cfRule type="expression" dxfId="848" priority="603" stopIfTrue="1">
      <formula>IF($S54&lt;8,TRUE,)</formula>
    </cfRule>
  </conditionalFormatting>
  <conditionalFormatting sqref="L54:L55">
    <cfRule type="expression" dxfId="847" priority="602" stopIfTrue="1">
      <formula>IF($S54&lt;7,TRUE,)</formula>
    </cfRule>
  </conditionalFormatting>
  <conditionalFormatting sqref="K54:K55">
    <cfRule type="expression" dxfId="846" priority="601" stopIfTrue="1">
      <formula>IF($S54&lt;6,TRUE,)</formula>
    </cfRule>
  </conditionalFormatting>
  <conditionalFormatting sqref="J54:J55">
    <cfRule type="expression" dxfId="845" priority="600" stopIfTrue="1">
      <formula>IF($S54&lt;5,TRUE,)</formula>
    </cfRule>
  </conditionalFormatting>
  <conditionalFormatting sqref="I54:I55">
    <cfRule type="expression" dxfId="844" priority="599" stopIfTrue="1">
      <formula>IF($S54&lt;4,TRUE,)</formula>
    </cfRule>
  </conditionalFormatting>
  <conditionalFormatting sqref="H54:H55">
    <cfRule type="expression" dxfId="843" priority="598" stopIfTrue="1">
      <formula>IF($S54&lt;3,TRUE,)</formula>
    </cfRule>
  </conditionalFormatting>
  <conditionalFormatting sqref="G54:G55">
    <cfRule type="expression" dxfId="842" priority="597" stopIfTrue="1">
      <formula>IF($S54&lt;2,TRUE,)</formula>
    </cfRule>
  </conditionalFormatting>
  <conditionalFormatting sqref="F54:F55">
    <cfRule type="expression" dxfId="841" priority="596" stopIfTrue="1">
      <formula>IF($S54&lt;1,TRUE,)</formula>
    </cfRule>
  </conditionalFormatting>
  <conditionalFormatting sqref="O54:O55">
    <cfRule type="expression" dxfId="840" priority="595" stopIfTrue="1">
      <formula>IF($S54&lt;10,TRUE,)</formula>
    </cfRule>
  </conditionalFormatting>
  <conditionalFormatting sqref="F49:O50">
    <cfRule type="colorScale" priority="594">
      <colorScale>
        <cfvo type="num" val="0"/>
        <cfvo type="num" val="5"/>
        <cfvo type="num" val="10"/>
        <color rgb="FF00B050"/>
        <color rgb="FFFFFF00"/>
        <color rgb="FFFF0000"/>
      </colorScale>
    </cfRule>
  </conditionalFormatting>
  <conditionalFormatting sqref="N49:N50">
    <cfRule type="expression" dxfId="839" priority="593" stopIfTrue="1">
      <formula>IF($S49&lt;9,TRUE,)</formula>
    </cfRule>
  </conditionalFormatting>
  <conditionalFormatting sqref="M49:M50">
    <cfRule type="expression" dxfId="838" priority="592" stopIfTrue="1">
      <formula>IF($S49&lt;8,TRUE,)</formula>
    </cfRule>
  </conditionalFormatting>
  <conditionalFormatting sqref="L49:L50">
    <cfRule type="expression" dxfId="837" priority="591" stopIfTrue="1">
      <formula>IF($S49&lt;7,TRUE,)</formula>
    </cfRule>
  </conditionalFormatting>
  <conditionalFormatting sqref="K49:K50">
    <cfRule type="expression" dxfId="836" priority="590" stopIfTrue="1">
      <formula>IF($S49&lt;6,TRUE,)</formula>
    </cfRule>
  </conditionalFormatting>
  <conditionalFormatting sqref="J49:J50">
    <cfRule type="expression" dxfId="835" priority="589" stopIfTrue="1">
      <formula>IF($S49&lt;5,TRUE,)</formula>
    </cfRule>
  </conditionalFormatting>
  <conditionalFormatting sqref="I49:I50">
    <cfRule type="expression" dxfId="834" priority="588" stopIfTrue="1">
      <formula>IF($S49&lt;4,TRUE,)</formula>
    </cfRule>
  </conditionalFormatting>
  <conditionalFormatting sqref="H49:H50">
    <cfRule type="expression" dxfId="833" priority="587" stopIfTrue="1">
      <formula>IF($S49&lt;3,TRUE,)</formula>
    </cfRule>
  </conditionalFormatting>
  <conditionalFormatting sqref="G49:G50">
    <cfRule type="expression" dxfId="832" priority="586" stopIfTrue="1">
      <formula>IF($S49&lt;2,TRUE,)</formula>
    </cfRule>
  </conditionalFormatting>
  <conditionalFormatting sqref="F49:F50">
    <cfRule type="expression" dxfId="831" priority="585" stopIfTrue="1">
      <formula>IF($S49&lt;1,TRUE,)</formula>
    </cfRule>
  </conditionalFormatting>
  <conditionalFormatting sqref="O49:O50">
    <cfRule type="expression" dxfId="830" priority="584" stopIfTrue="1">
      <formula>IF($S49&lt;10,TRUE,)</formula>
    </cfRule>
  </conditionalFormatting>
  <conditionalFormatting sqref="F56:O57">
    <cfRule type="colorScale" priority="583">
      <colorScale>
        <cfvo type="num" val="0"/>
        <cfvo type="num" val="5"/>
        <cfvo type="num" val="10"/>
        <color rgb="FF00B050"/>
        <color rgb="FFFFFF00"/>
        <color rgb="FFFF0000"/>
      </colorScale>
    </cfRule>
  </conditionalFormatting>
  <conditionalFormatting sqref="N56:N57">
    <cfRule type="expression" dxfId="829" priority="582" stopIfTrue="1">
      <formula>IF($S56&lt;9,TRUE,)</formula>
    </cfRule>
  </conditionalFormatting>
  <conditionalFormatting sqref="M56:M57">
    <cfRule type="expression" dxfId="828" priority="581" stopIfTrue="1">
      <formula>IF($S56&lt;8,TRUE,)</formula>
    </cfRule>
  </conditionalFormatting>
  <conditionalFormatting sqref="L56:L57">
    <cfRule type="expression" dxfId="827" priority="580" stopIfTrue="1">
      <formula>IF($S56&lt;7,TRUE,)</formula>
    </cfRule>
  </conditionalFormatting>
  <conditionalFormatting sqref="K56:K57">
    <cfRule type="expression" dxfId="826" priority="579" stopIfTrue="1">
      <formula>IF($S56&lt;6,TRUE,)</formula>
    </cfRule>
  </conditionalFormatting>
  <conditionalFormatting sqref="J56:J57">
    <cfRule type="expression" dxfId="825" priority="578" stopIfTrue="1">
      <formula>IF($S56&lt;5,TRUE,)</formula>
    </cfRule>
  </conditionalFormatting>
  <conditionalFormatting sqref="I56:I57">
    <cfRule type="expression" dxfId="824" priority="577" stopIfTrue="1">
      <formula>IF($S56&lt;4,TRUE,)</formula>
    </cfRule>
  </conditionalFormatting>
  <conditionalFormatting sqref="H56:H57">
    <cfRule type="expression" dxfId="823" priority="576" stopIfTrue="1">
      <formula>IF($S56&lt;3,TRUE,)</formula>
    </cfRule>
  </conditionalFormatting>
  <conditionalFormatting sqref="G56:G57">
    <cfRule type="expression" dxfId="822" priority="575" stopIfTrue="1">
      <formula>IF($S56&lt;2,TRUE,)</formula>
    </cfRule>
  </conditionalFormatting>
  <conditionalFormatting sqref="F56:F57">
    <cfRule type="expression" dxfId="821" priority="574" stopIfTrue="1">
      <formula>IF($S56&lt;1,TRUE,)</formula>
    </cfRule>
  </conditionalFormatting>
  <conditionalFormatting sqref="O56:O57">
    <cfRule type="expression" dxfId="820" priority="573" stopIfTrue="1">
      <formula>IF($S56&lt;10,TRUE,)</formula>
    </cfRule>
  </conditionalFormatting>
  <conditionalFormatting sqref="F59:O59">
    <cfRule type="colorScale" priority="572">
      <colorScale>
        <cfvo type="num" val="0"/>
        <cfvo type="num" val="5"/>
        <cfvo type="num" val="10"/>
        <color rgb="FF00B050"/>
        <color rgb="FFFFFF00"/>
        <color rgb="FFFF0000"/>
      </colorScale>
    </cfRule>
  </conditionalFormatting>
  <conditionalFormatting sqref="N59">
    <cfRule type="expression" dxfId="819" priority="571" stopIfTrue="1">
      <formula>IF($S59&lt;9,TRUE,)</formula>
    </cfRule>
  </conditionalFormatting>
  <conditionalFormatting sqref="M59">
    <cfRule type="expression" dxfId="818" priority="570" stopIfTrue="1">
      <formula>IF($S59&lt;8,TRUE,)</formula>
    </cfRule>
  </conditionalFormatting>
  <conditionalFormatting sqref="L59">
    <cfRule type="expression" dxfId="817" priority="569" stopIfTrue="1">
      <formula>IF($S59&lt;7,TRUE,)</formula>
    </cfRule>
  </conditionalFormatting>
  <conditionalFormatting sqref="K59">
    <cfRule type="expression" dxfId="816" priority="568" stopIfTrue="1">
      <formula>IF($S59&lt;6,TRUE,)</formula>
    </cfRule>
  </conditionalFormatting>
  <conditionalFormatting sqref="J59">
    <cfRule type="expression" dxfId="815" priority="567" stopIfTrue="1">
      <formula>IF($S59&lt;5,TRUE,)</formula>
    </cfRule>
  </conditionalFormatting>
  <conditionalFormatting sqref="I59">
    <cfRule type="expression" dxfId="814" priority="566" stopIfTrue="1">
      <formula>IF($S59&lt;4,TRUE,)</formula>
    </cfRule>
  </conditionalFormatting>
  <conditionalFormatting sqref="H59">
    <cfRule type="expression" dxfId="813" priority="565" stopIfTrue="1">
      <formula>IF($S59&lt;3,TRUE,)</formula>
    </cfRule>
  </conditionalFormatting>
  <conditionalFormatting sqref="G59">
    <cfRule type="expression" dxfId="812" priority="564" stopIfTrue="1">
      <formula>IF($S59&lt;2,TRUE,)</formula>
    </cfRule>
  </conditionalFormatting>
  <conditionalFormatting sqref="F59">
    <cfRule type="expression" dxfId="811" priority="563" stopIfTrue="1">
      <formula>IF($S59&lt;1,TRUE,)</formula>
    </cfRule>
  </conditionalFormatting>
  <conditionalFormatting sqref="O59">
    <cfRule type="expression" dxfId="810" priority="562" stopIfTrue="1">
      <formula>IF($S59&lt;10,TRUE,)</formula>
    </cfRule>
  </conditionalFormatting>
  <conditionalFormatting sqref="F74:O74">
    <cfRule type="colorScale" priority="561">
      <colorScale>
        <cfvo type="num" val="0"/>
        <cfvo type="num" val="5"/>
        <cfvo type="num" val="10"/>
        <color rgb="FF00B050"/>
        <color rgb="FFFFFF00"/>
        <color rgb="FFFF0000"/>
      </colorScale>
    </cfRule>
  </conditionalFormatting>
  <conditionalFormatting sqref="N74">
    <cfRule type="expression" dxfId="809" priority="560" stopIfTrue="1">
      <formula>IF($S74&lt;9,TRUE,)</formula>
    </cfRule>
  </conditionalFormatting>
  <conditionalFormatting sqref="M74">
    <cfRule type="expression" dxfId="808" priority="559" stopIfTrue="1">
      <formula>IF($S74&lt;8,TRUE,)</formula>
    </cfRule>
  </conditionalFormatting>
  <conditionalFormatting sqref="L74">
    <cfRule type="expression" dxfId="807" priority="558" stopIfTrue="1">
      <formula>IF($S74&lt;7,TRUE,)</formula>
    </cfRule>
  </conditionalFormatting>
  <conditionalFormatting sqref="K74">
    <cfRule type="expression" dxfId="806" priority="557" stopIfTrue="1">
      <formula>IF($S74&lt;6,TRUE,)</formula>
    </cfRule>
  </conditionalFormatting>
  <conditionalFormatting sqref="J74">
    <cfRule type="expression" dxfId="805" priority="556" stopIfTrue="1">
      <formula>IF($S74&lt;5,TRUE,)</formula>
    </cfRule>
  </conditionalFormatting>
  <conditionalFormatting sqref="I74">
    <cfRule type="expression" dxfId="804" priority="555" stopIfTrue="1">
      <formula>IF($S74&lt;4,TRUE,)</formula>
    </cfRule>
  </conditionalFormatting>
  <conditionalFormatting sqref="H74">
    <cfRule type="expression" dxfId="803" priority="554" stopIfTrue="1">
      <formula>IF($S74&lt;3,TRUE,)</formula>
    </cfRule>
  </conditionalFormatting>
  <conditionalFormatting sqref="G74">
    <cfRule type="expression" dxfId="802" priority="553" stopIfTrue="1">
      <formula>IF($S74&lt;2,TRUE,)</formula>
    </cfRule>
  </conditionalFormatting>
  <conditionalFormatting sqref="F74">
    <cfRule type="expression" dxfId="801" priority="552" stopIfTrue="1">
      <formula>IF($S74&lt;1,TRUE,)</formula>
    </cfRule>
  </conditionalFormatting>
  <conditionalFormatting sqref="O74">
    <cfRule type="expression" dxfId="800" priority="551" stopIfTrue="1">
      <formula>IF($S74&lt;10,TRUE,)</formula>
    </cfRule>
  </conditionalFormatting>
  <conditionalFormatting sqref="F63:O64">
    <cfRule type="colorScale" priority="550">
      <colorScale>
        <cfvo type="num" val="0"/>
        <cfvo type="num" val="5"/>
        <cfvo type="num" val="10"/>
        <color rgb="FF00B050"/>
        <color rgb="FFFFFF00"/>
        <color rgb="FFFF0000"/>
      </colorScale>
    </cfRule>
  </conditionalFormatting>
  <conditionalFormatting sqref="N63:N64">
    <cfRule type="expression" dxfId="799" priority="549" stopIfTrue="1">
      <formula>IF($S63&lt;9,TRUE,)</formula>
    </cfRule>
  </conditionalFormatting>
  <conditionalFormatting sqref="M63:M64">
    <cfRule type="expression" dxfId="798" priority="548" stopIfTrue="1">
      <formula>IF($S63&lt;8,TRUE,)</formula>
    </cfRule>
  </conditionalFormatting>
  <conditionalFormatting sqref="L63:L64">
    <cfRule type="expression" dxfId="797" priority="547" stopIfTrue="1">
      <formula>IF($S63&lt;7,TRUE,)</formula>
    </cfRule>
  </conditionalFormatting>
  <conditionalFormatting sqref="K63:K64">
    <cfRule type="expression" dxfId="796" priority="546" stopIfTrue="1">
      <formula>IF($S63&lt;6,TRUE,)</formula>
    </cfRule>
  </conditionalFormatting>
  <conditionalFormatting sqref="J63:J64">
    <cfRule type="expression" dxfId="795" priority="545" stopIfTrue="1">
      <formula>IF($S63&lt;5,TRUE,)</formula>
    </cfRule>
  </conditionalFormatting>
  <conditionalFormatting sqref="I63:I64">
    <cfRule type="expression" dxfId="794" priority="544" stopIfTrue="1">
      <formula>IF($S63&lt;4,TRUE,)</formula>
    </cfRule>
  </conditionalFormatting>
  <conditionalFormatting sqref="H63:H64">
    <cfRule type="expression" dxfId="793" priority="543" stopIfTrue="1">
      <formula>IF($S63&lt;3,TRUE,)</formula>
    </cfRule>
  </conditionalFormatting>
  <conditionalFormatting sqref="G63:G64">
    <cfRule type="expression" dxfId="792" priority="542" stopIfTrue="1">
      <formula>IF($S63&lt;2,TRUE,)</formula>
    </cfRule>
  </conditionalFormatting>
  <conditionalFormatting sqref="F63:F64">
    <cfRule type="expression" dxfId="791" priority="541" stopIfTrue="1">
      <formula>IF($S63&lt;1,TRUE,)</formula>
    </cfRule>
  </conditionalFormatting>
  <conditionalFormatting sqref="O63:O64">
    <cfRule type="expression" dxfId="790" priority="540" stopIfTrue="1">
      <formula>IF($S63&lt;10,TRUE,)</formula>
    </cfRule>
  </conditionalFormatting>
  <conditionalFormatting sqref="F70:O71">
    <cfRule type="colorScale" priority="539">
      <colorScale>
        <cfvo type="num" val="0"/>
        <cfvo type="num" val="5"/>
        <cfvo type="num" val="10"/>
        <color rgb="FF00B050"/>
        <color rgb="FFFFFF00"/>
        <color rgb="FFFF0000"/>
      </colorScale>
    </cfRule>
  </conditionalFormatting>
  <conditionalFormatting sqref="N70:N71">
    <cfRule type="expression" dxfId="789" priority="538" stopIfTrue="1">
      <formula>IF($S70&lt;9,TRUE,)</formula>
    </cfRule>
  </conditionalFormatting>
  <conditionalFormatting sqref="M70:M71">
    <cfRule type="expression" dxfId="788" priority="537" stopIfTrue="1">
      <formula>IF($S70&lt;8,TRUE,)</formula>
    </cfRule>
  </conditionalFormatting>
  <conditionalFormatting sqref="L70:L71">
    <cfRule type="expression" dxfId="787" priority="536" stopIfTrue="1">
      <formula>IF($S70&lt;7,TRUE,)</formula>
    </cfRule>
  </conditionalFormatting>
  <conditionalFormatting sqref="K70:K71">
    <cfRule type="expression" dxfId="786" priority="535" stopIfTrue="1">
      <formula>IF($S70&lt;6,TRUE,)</formula>
    </cfRule>
  </conditionalFormatting>
  <conditionalFormatting sqref="J70:J71">
    <cfRule type="expression" dxfId="785" priority="534" stopIfTrue="1">
      <formula>IF($S70&lt;5,TRUE,)</formula>
    </cfRule>
  </conditionalFormatting>
  <conditionalFormatting sqref="I70:I71">
    <cfRule type="expression" dxfId="784" priority="533" stopIfTrue="1">
      <formula>IF($S70&lt;4,TRUE,)</formula>
    </cfRule>
  </conditionalFormatting>
  <conditionalFormatting sqref="H70:H71">
    <cfRule type="expression" dxfId="783" priority="532" stopIfTrue="1">
      <formula>IF($S70&lt;3,TRUE,)</formula>
    </cfRule>
  </conditionalFormatting>
  <conditionalFormatting sqref="G70:G71">
    <cfRule type="expression" dxfId="782" priority="531" stopIfTrue="1">
      <formula>IF($S70&lt;2,TRUE,)</formula>
    </cfRule>
  </conditionalFormatting>
  <conditionalFormatting sqref="F70:F71">
    <cfRule type="expression" dxfId="781" priority="530" stopIfTrue="1">
      <formula>IF($S70&lt;1,TRUE,)</formula>
    </cfRule>
  </conditionalFormatting>
  <conditionalFormatting sqref="O70:O71">
    <cfRule type="expression" dxfId="780" priority="529" stopIfTrue="1">
      <formula>IF($S70&lt;10,TRUE,)</formula>
    </cfRule>
  </conditionalFormatting>
  <conditionalFormatting sqref="F65:O66">
    <cfRule type="colorScale" priority="528">
      <colorScale>
        <cfvo type="num" val="0"/>
        <cfvo type="num" val="5"/>
        <cfvo type="num" val="10"/>
        <color rgb="FF00B050"/>
        <color rgb="FFFFFF00"/>
        <color rgb="FFFF0000"/>
      </colorScale>
    </cfRule>
  </conditionalFormatting>
  <conditionalFormatting sqref="N65:N66">
    <cfRule type="expression" dxfId="779" priority="527" stopIfTrue="1">
      <formula>IF($S65&lt;9,TRUE,)</formula>
    </cfRule>
  </conditionalFormatting>
  <conditionalFormatting sqref="M65:M66">
    <cfRule type="expression" dxfId="778" priority="526" stopIfTrue="1">
      <formula>IF($S65&lt;8,TRUE,)</formula>
    </cfRule>
  </conditionalFormatting>
  <conditionalFormatting sqref="L65:L66">
    <cfRule type="expression" dxfId="777" priority="525" stopIfTrue="1">
      <formula>IF($S65&lt;7,TRUE,)</formula>
    </cfRule>
  </conditionalFormatting>
  <conditionalFormatting sqref="K65:K66">
    <cfRule type="expression" dxfId="776" priority="524" stopIfTrue="1">
      <formula>IF($S65&lt;6,TRUE,)</formula>
    </cfRule>
  </conditionalFormatting>
  <conditionalFormatting sqref="J65:J66">
    <cfRule type="expression" dxfId="775" priority="523" stopIfTrue="1">
      <formula>IF($S65&lt;5,TRUE,)</formula>
    </cfRule>
  </conditionalFormatting>
  <conditionalFormatting sqref="I65:I66">
    <cfRule type="expression" dxfId="774" priority="522" stopIfTrue="1">
      <formula>IF($S65&lt;4,TRUE,)</formula>
    </cfRule>
  </conditionalFormatting>
  <conditionalFormatting sqref="H65:H66">
    <cfRule type="expression" dxfId="773" priority="521" stopIfTrue="1">
      <formula>IF($S65&lt;3,TRUE,)</formula>
    </cfRule>
  </conditionalFormatting>
  <conditionalFormatting sqref="G65:G66">
    <cfRule type="expression" dxfId="772" priority="520" stopIfTrue="1">
      <formula>IF($S65&lt;2,TRUE,)</formula>
    </cfRule>
  </conditionalFormatting>
  <conditionalFormatting sqref="F65:F66">
    <cfRule type="expression" dxfId="771" priority="519" stopIfTrue="1">
      <formula>IF($S65&lt;1,TRUE,)</formula>
    </cfRule>
  </conditionalFormatting>
  <conditionalFormatting sqref="O65:O66">
    <cfRule type="expression" dxfId="770" priority="518" stopIfTrue="1">
      <formula>IF($S65&lt;10,TRUE,)</formula>
    </cfRule>
  </conditionalFormatting>
  <conditionalFormatting sqref="F72:O73">
    <cfRule type="colorScale" priority="517">
      <colorScale>
        <cfvo type="num" val="0"/>
        <cfvo type="num" val="5"/>
        <cfvo type="num" val="10"/>
        <color rgb="FF00B050"/>
        <color rgb="FFFFFF00"/>
        <color rgb="FFFF0000"/>
      </colorScale>
    </cfRule>
  </conditionalFormatting>
  <conditionalFormatting sqref="N72:N73">
    <cfRule type="expression" dxfId="769" priority="516" stopIfTrue="1">
      <formula>IF($S72&lt;9,TRUE,)</formula>
    </cfRule>
  </conditionalFormatting>
  <conditionalFormatting sqref="M72:M73">
    <cfRule type="expression" dxfId="768" priority="515" stopIfTrue="1">
      <formula>IF($S72&lt;8,TRUE,)</formula>
    </cfRule>
  </conditionalFormatting>
  <conditionalFormatting sqref="L72:L73">
    <cfRule type="expression" dxfId="767" priority="514" stopIfTrue="1">
      <formula>IF($S72&lt;7,TRUE,)</formula>
    </cfRule>
  </conditionalFormatting>
  <conditionalFormatting sqref="K72:K73">
    <cfRule type="expression" dxfId="766" priority="513" stopIfTrue="1">
      <formula>IF($S72&lt;6,TRUE,)</formula>
    </cfRule>
  </conditionalFormatting>
  <conditionalFormatting sqref="J72:J73">
    <cfRule type="expression" dxfId="765" priority="512" stopIfTrue="1">
      <formula>IF($S72&lt;5,TRUE,)</formula>
    </cfRule>
  </conditionalFormatting>
  <conditionalFormatting sqref="I72:I73">
    <cfRule type="expression" dxfId="764" priority="511" stopIfTrue="1">
      <formula>IF($S72&lt;4,TRUE,)</formula>
    </cfRule>
  </conditionalFormatting>
  <conditionalFormatting sqref="H72:H73">
    <cfRule type="expression" dxfId="763" priority="510" stopIfTrue="1">
      <formula>IF($S72&lt;3,TRUE,)</formula>
    </cfRule>
  </conditionalFormatting>
  <conditionalFormatting sqref="G72:G73">
    <cfRule type="expression" dxfId="762" priority="509" stopIfTrue="1">
      <formula>IF($S72&lt;2,TRUE,)</formula>
    </cfRule>
  </conditionalFormatting>
  <conditionalFormatting sqref="F72:F73">
    <cfRule type="expression" dxfId="761" priority="508" stopIfTrue="1">
      <formula>IF($S72&lt;1,TRUE,)</formula>
    </cfRule>
  </conditionalFormatting>
  <conditionalFormatting sqref="O72:O73">
    <cfRule type="expression" dxfId="760" priority="507" stopIfTrue="1">
      <formula>IF($S72&lt;10,TRUE,)</formula>
    </cfRule>
  </conditionalFormatting>
  <conditionalFormatting sqref="F90:O106">
    <cfRule type="colorScale" priority="506">
      <colorScale>
        <cfvo type="num" val="0"/>
        <cfvo type="num" val="5"/>
        <cfvo type="num" val="10"/>
        <color rgb="FF00B050"/>
        <color rgb="FFFFFF00"/>
        <color rgb="FFFF0000"/>
      </colorScale>
    </cfRule>
  </conditionalFormatting>
  <conditionalFormatting sqref="N90:N106">
    <cfRule type="expression" dxfId="759" priority="505" stopIfTrue="1">
      <formula>IF($S90&lt;9,TRUE,)</formula>
    </cfRule>
  </conditionalFormatting>
  <conditionalFormatting sqref="M90:M106">
    <cfRule type="expression" dxfId="758" priority="504" stopIfTrue="1">
      <formula>IF($S90&lt;8,TRUE,)</formula>
    </cfRule>
  </conditionalFormatting>
  <conditionalFormatting sqref="L90:L106">
    <cfRule type="expression" dxfId="757" priority="503" stopIfTrue="1">
      <formula>IF($S90&lt;7,TRUE,)</formula>
    </cfRule>
  </conditionalFormatting>
  <conditionalFormatting sqref="K90:K106">
    <cfRule type="expression" dxfId="756" priority="502" stopIfTrue="1">
      <formula>IF($S90&lt;6,TRUE,)</formula>
    </cfRule>
  </conditionalFormatting>
  <conditionalFormatting sqref="J90:J106">
    <cfRule type="expression" dxfId="755" priority="501" stopIfTrue="1">
      <formula>IF($S90&lt;5,TRUE,)</formula>
    </cfRule>
  </conditionalFormatting>
  <conditionalFormatting sqref="I90:I106">
    <cfRule type="expression" dxfId="754" priority="500" stopIfTrue="1">
      <formula>IF($S90&lt;4,TRUE,)</formula>
    </cfRule>
  </conditionalFormatting>
  <conditionalFormatting sqref="H90:H106">
    <cfRule type="expression" dxfId="753" priority="499" stopIfTrue="1">
      <formula>IF($S90&lt;3,TRUE,)</formula>
    </cfRule>
  </conditionalFormatting>
  <conditionalFormatting sqref="G90:G106">
    <cfRule type="expression" dxfId="752" priority="498" stopIfTrue="1">
      <formula>IF($S90&lt;2,TRUE,)</formula>
    </cfRule>
  </conditionalFormatting>
  <conditionalFormatting sqref="F90:F106">
    <cfRule type="expression" dxfId="751" priority="497" stopIfTrue="1">
      <formula>IF($S90&lt;1,TRUE,)</formula>
    </cfRule>
  </conditionalFormatting>
  <conditionalFormatting sqref="O90:O106">
    <cfRule type="expression" dxfId="750" priority="496" stopIfTrue="1">
      <formula>IF($S90&lt;10,TRUE,)</formula>
    </cfRule>
  </conditionalFormatting>
  <conditionalFormatting sqref="F79:O80">
    <cfRule type="colorScale" priority="495">
      <colorScale>
        <cfvo type="num" val="0"/>
        <cfvo type="num" val="5"/>
        <cfvo type="num" val="10"/>
        <color rgb="FF00B050"/>
        <color rgb="FFFFFF00"/>
        <color rgb="FFFF0000"/>
      </colorScale>
    </cfRule>
  </conditionalFormatting>
  <conditionalFormatting sqref="N79:N80">
    <cfRule type="expression" dxfId="749" priority="494" stopIfTrue="1">
      <formula>IF($S79&lt;9,TRUE,)</formula>
    </cfRule>
  </conditionalFormatting>
  <conditionalFormatting sqref="M79:M80">
    <cfRule type="expression" dxfId="748" priority="493" stopIfTrue="1">
      <formula>IF($S79&lt;8,TRUE,)</formula>
    </cfRule>
  </conditionalFormatting>
  <conditionalFormatting sqref="L79:L80">
    <cfRule type="expression" dxfId="747" priority="492" stopIfTrue="1">
      <formula>IF($S79&lt;7,TRUE,)</formula>
    </cfRule>
  </conditionalFormatting>
  <conditionalFormatting sqref="K79:K80">
    <cfRule type="expression" dxfId="746" priority="491" stopIfTrue="1">
      <formula>IF($S79&lt;6,TRUE,)</formula>
    </cfRule>
  </conditionalFormatting>
  <conditionalFormatting sqref="J79:J80">
    <cfRule type="expression" dxfId="745" priority="490" stopIfTrue="1">
      <formula>IF($S79&lt;5,TRUE,)</formula>
    </cfRule>
  </conditionalFormatting>
  <conditionalFormatting sqref="I79:I80">
    <cfRule type="expression" dxfId="744" priority="489" stopIfTrue="1">
      <formula>IF($S79&lt;4,TRUE,)</formula>
    </cfRule>
  </conditionalFormatting>
  <conditionalFormatting sqref="H79:H80">
    <cfRule type="expression" dxfId="743" priority="488" stopIfTrue="1">
      <formula>IF($S79&lt;3,TRUE,)</formula>
    </cfRule>
  </conditionalFormatting>
  <conditionalFormatting sqref="G79:G80">
    <cfRule type="expression" dxfId="742" priority="487" stopIfTrue="1">
      <formula>IF($S79&lt;2,TRUE,)</formula>
    </cfRule>
  </conditionalFormatting>
  <conditionalFormatting sqref="F79:F80">
    <cfRule type="expression" dxfId="741" priority="486" stopIfTrue="1">
      <formula>IF($S79&lt;1,TRUE,)</formula>
    </cfRule>
  </conditionalFormatting>
  <conditionalFormatting sqref="O79:O80">
    <cfRule type="expression" dxfId="740" priority="485" stopIfTrue="1">
      <formula>IF($S79&lt;10,TRUE,)</formula>
    </cfRule>
  </conditionalFormatting>
  <conditionalFormatting sqref="F86:O87">
    <cfRule type="colorScale" priority="484">
      <colorScale>
        <cfvo type="num" val="0"/>
        <cfvo type="num" val="5"/>
        <cfvo type="num" val="10"/>
        <color rgb="FF00B050"/>
        <color rgb="FFFFFF00"/>
        <color rgb="FFFF0000"/>
      </colorScale>
    </cfRule>
  </conditionalFormatting>
  <conditionalFormatting sqref="N86:N87">
    <cfRule type="expression" dxfId="739" priority="483" stopIfTrue="1">
      <formula>IF($S86&lt;9,TRUE,)</formula>
    </cfRule>
  </conditionalFormatting>
  <conditionalFormatting sqref="M86:M87">
    <cfRule type="expression" dxfId="738" priority="482" stopIfTrue="1">
      <formula>IF($S86&lt;8,TRUE,)</formula>
    </cfRule>
  </conditionalFormatting>
  <conditionalFormatting sqref="L86:L87">
    <cfRule type="expression" dxfId="737" priority="481" stopIfTrue="1">
      <formula>IF($S86&lt;7,TRUE,)</formula>
    </cfRule>
  </conditionalFormatting>
  <conditionalFormatting sqref="K86:K87">
    <cfRule type="expression" dxfId="736" priority="480" stopIfTrue="1">
      <formula>IF($S86&lt;6,TRUE,)</formula>
    </cfRule>
  </conditionalFormatting>
  <conditionalFormatting sqref="J86:J87">
    <cfRule type="expression" dxfId="735" priority="479" stopIfTrue="1">
      <formula>IF($S86&lt;5,TRUE,)</formula>
    </cfRule>
  </conditionalFormatting>
  <conditionalFormatting sqref="I86:I87">
    <cfRule type="expression" dxfId="734" priority="478" stopIfTrue="1">
      <formula>IF($S86&lt;4,TRUE,)</formula>
    </cfRule>
  </conditionalFormatting>
  <conditionalFormatting sqref="H86:H87">
    <cfRule type="expression" dxfId="733" priority="477" stopIfTrue="1">
      <formula>IF($S86&lt;3,TRUE,)</formula>
    </cfRule>
  </conditionalFormatting>
  <conditionalFormatting sqref="G86:G87">
    <cfRule type="expression" dxfId="732" priority="476" stopIfTrue="1">
      <formula>IF($S86&lt;2,TRUE,)</formula>
    </cfRule>
  </conditionalFormatting>
  <conditionalFormatting sqref="F86:F87">
    <cfRule type="expression" dxfId="731" priority="475" stopIfTrue="1">
      <formula>IF($S86&lt;1,TRUE,)</formula>
    </cfRule>
  </conditionalFormatting>
  <conditionalFormatting sqref="O86:O87">
    <cfRule type="expression" dxfId="730" priority="474" stopIfTrue="1">
      <formula>IF($S86&lt;10,TRUE,)</formula>
    </cfRule>
  </conditionalFormatting>
  <conditionalFormatting sqref="F81:O82">
    <cfRule type="colorScale" priority="473">
      <colorScale>
        <cfvo type="num" val="0"/>
        <cfvo type="num" val="5"/>
        <cfvo type="num" val="10"/>
        <color rgb="FF00B050"/>
        <color rgb="FFFFFF00"/>
        <color rgb="FFFF0000"/>
      </colorScale>
    </cfRule>
  </conditionalFormatting>
  <conditionalFormatting sqref="N81:N82">
    <cfRule type="expression" dxfId="729" priority="472" stopIfTrue="1">
      <formula>IF($S81&lt;9,TRUE,)</formula>
    </cfRule>
  </conditionalFormatting>
  <conditionalFormatting sqref="M81:M82">
    <cfRule type="expression" dxfId="728" priority="471" stopIfTrue="1">
      <formula>IF($S81&lt;8,TRUE,)</formula>
    </cfRule>
  </conditionalFormatting>
  <conditionalFormatting sqref="L81:L82">
    <cfRule type="expression" dxfId="727" priority="470" stopIfTrue="1">
      <formula>IF($S81&lt;7,TRUE,)</formula>
    </cfRule>
  </conditionalFormatting>
  <conditionalFormatting sqref="K81:K82">
    <cfRule type="expression" dxfId="726" priority="469" stopIfTrue="1">
      <formula>IF($S81&lt;6,TRUE,)</formula>
    </cfRule>
  </conditionalFormatting>
  <conditionalFormatting sqref="J81:J82">
    <cfRule type="expression" dxfId="725" priority="468" stopIfTrue="1">
      <formula>IF($S81&lt;5,TRUE,)</formula>
    </cfRule>
  </conditionalFormatting>
  <conditionalFormatting sqref="I81:I82">
    <cfRule type="expression" dxfId="724" priority="467" stopIfTrue="1">
      <formula>IF($S81&lt;4,TRUE,)</formula>
    </cfRule>
  </conditionalFormatting>
  <conditionalFormatting sqref="H81:H82">
    <cfRule type="expression" dxfId="723" priority="466" stopIfTrue="1">
      <formula>IF($S81&lt;3,TRUE,)</formula>
    </cfRule>
  </conditionalFormatting>
  <conditionalFormatting sqref="G81:G82">
    <cfRule type="expression" dxfId="722" priority="465" stopIfTrue="1">
      <formula>IF($S81&lt;2,TRUE,)</formula>
    </cfRule>
  </conditionalFormatting>
  <conditionalFormatting sqref="F81:F82">
    <cfRule type="expression" dxfId="721" priority="464" stopIfTrue="1">
      <formula>IF($S81&lt;1,TRUE,)</formula>
    </cfRule>
  </conditionalFormatting>
  <conditionalFormatting sqref="O81:O82">
    <cfRule type="expression" dxfId="720" priority="463" stopIfTrue="1">
      <formula>IF($S81&lt;10,TRUE,)</formula>
    </cfRule>
  </conditionalFormatting>
  <conditionalFormatting sqref="F88:O89">
    <cfRule type="colorScale" priority="462">
      <colorScale>
        <cfvo type="num" val="0"/>
        <cfvo type="num" val="5"/>
        <cfvo type="num" val="10"/>
        <color rgb="FF00B050"/>
        <color rgb="FFFFFF00"/>
        <color rgb="FFFF0000"/>
      </colorScale>
    </cfRule>
  </conditionalFormatting>
  <conditionalFormatting sqref="N88:N89">
    <cfRule type="expression" dxfId="719" priority="461" stopIfTrue="1">
      <formula>IF($S88&lt;9,TRUE,)</formula>
    </cfRule>
  </conditionalFormatting>
  <conditionalFormatting sqref="M88:M89">
    <cfRule type="expression" dxfId="718" priority="460" stopIfTrue="1">
      <formula>IF($S88&lt;8,TRUE,)</formula>
    </cfRule>
  </conditionalFormatting>
  <conditionalFormatting sqref="L88:L89">
    <cfRule type="expression" dxfId="717" priority="459" stopIfTrue="1">
      <formula>IF($S88&lt;7,TRUE,)</formula>
    </cfRule>
  </conditionalFormatting>
  <conditionalFormatting sqref="K88:K89">
    <cfRule type="expression" dxfId="716" priority="458" stopIfTrue="1">
      <formula>IF($S88&lt;6,TRUE,)</formula>
    </cfRule>
  </conditionalFormatting>
  <conditionalFormatting sqref="J88:J89">
    <cfRule type="expression" dxfId="715" priority="457" stopIfTrue="1">
      <formula>IF($S88&lt;5,TRUE,)</formula>
    </cfRule>
  </conditionalFormatting>
  <conditionalFormatting sqref="I88:I89">
    <cfRule type="expression" dxfId="714" priority="456" stopIfTrue="1">
      <formula>IF($S88&lt;4,TRUE,)</formula>
    </cfRule>
  </conditionalFormatting>
  <conditionalFormatting sqref="H88:H89">
    <cfRule type="expression" dxfId="713" priority="455" stopIfTrue="1">
      <formula>IF($S88&lt;3,TRUE,)</formula>
    </cfRule>
  </conditionalFormatting>
  <conditionalFormatting sqref="G88:G89">
    <cfRule type="expression" dxfId="712" priority="454" stopIfTrue="1">
      <formula>IF($S88&lt;2,TRUE,)</formula>
    </cfRule>
  </conditionalFormatting>
  <conditionalFormatting sqref="F88:F89">
    <cfRule type="expression" dxfId="711" priority="453" stopIfTrue="1">
      <formula>IF($S88&lt;1,TRUE,)</formula>
    </cfRule>
  </conditionalFormatting>
  <conditionalFormatting sqref="O88:O89">
    <cfRule type="expression" dxfId="710" priority="452" stopIfTrue="1">
      <formula>IF($S88&lt;10,TRUE,)</formula>
    </cfRule>
  </conditionalFormatting>
  <conditionalFormatting sqref="F91:O91">
    <cfRule type="colorScale" priority="451">
      <colorScale>
        <cfvo type="num" val="0"/>
        <cfvo type="num" val="5"/>
        <cfvo type="num" val="10"/>
        <color rgb="FF00B050"/>
        <color rgb="FFFFFF00"/>
        <color rgb="FFFF0000"/>
      </colorScale>
    </cfRule>
  </conditionalFormatting>
  <conditionalFormatting sqref="N91">
    <cfRule type="expression" dxfId="709" priority="450" stopIfTrue="1">
      <formula>IF($S91&lt;9,TRUE,)</formula>
    </cfRule>
  </conditionalFormatting>
  <conditionalFormatting sqref="M91">
    <cfRule type="expression" dxfId="708" priority="449" stopIfTrue="1">
      <formula>IF($S91&lt;8,TRUE,)</formula>
    </cfRule>
  </conditionalFormatting>
  <conditionalFormatting sqref="L91">
    <cfRule type="expression" dxfId="707" priority="448" stopIfTrue="1">
      <formula>IF($S91&lt;7,TRUE,)</formula>
    </cfRule>
  </conditionalFormatting>
  <conditionalFormatting sqref="K91">
    <cfRule type="expression" dxfId="706" priority="447" stopIfTrue="1">
      <formula>IF($S91&lt;6,TRUE,)</formula>
    </cfRule>
  </conditionalFormatting>
  <conditionalFormatting sqref="J91">
    <cfRule type="expression" dxfId="705" priority="446" stopIfTrue="1">
      <formula>IF($S91&lt;5,TRUE,)</formula>
    </cfRule>
  </conditionalFormatting>
  <conditionalFormatting sqref="I91">
    <cfRule type="expression" dxfId="704" priority="445" stopIfTrue="1">
      <formula>IF($S91&lt;4,TRUE,)</formula>
    </cfRule>
  </conditionalFormatting>
  <conditionalFormatting sqref="H91">
    <cfRule type="expression" dxfId="703" priority="444" stopIfTrue="1">
      <formula>IF($S91&lt;3,TRUE,)</formula>
    </cfRule>
  </conditionalFormatting>
  <conditionalFormatting sqref="G91">
    <cfRule type="expression" dxfId="702" priority="443" stopIfTrue="1">
      <formula>IF($S91&lt;2,TRUE,)</formula>
    </cfRule>
  </conditionalFormatting>
  <conditionalFormatting sqref="F91">
    <cfRule type="expression" dxfId="701" priority="442" stopIfTrue="1">
      <formula>IF($S91&lt;1,TRUE,)</formula>
    </cfRule>
  </conditionalFormatting>
  <conditionalFormatting sqref="O91">
    <cfRule type="expression" dxfId="700" priority="441" stopIfTrue="1">
      <formula>IF($S91&lt;10,TRUE,)</formula>
    </cfRule>
  </conditionalFormatting>
  <conditionalFormatting sqref="F106:O106">
    <cfRule type="colorScale" priority="440">
      <colorScale>
        <cfvo type="num" val="0"/>
        <cfvo type="num" val="5"/>
        <cfvo type="num" val="10"/>
        <color rgb="FF00B050"/>
        <color rgb="FFFFFF00"/>
        <color rgb="FFFF0000"/>
      </colorScale>
    </cfRule>
  </conditionalFormatting>
  <conditionalFormatting sqref="N106">
    <cfRule type="expression" dxfId="699" priority="439" stopIfTrue="1">
      <formula>IF($S106&lt;9,TRUE,)</formula>
    </cfRule>
  </conditionalFormatting>
  <conditionalFormatting sqref="M106">
    <cfRule type="expression" dxfId="698" priority="438" stopIfTrue="1">
      <formula>IF($S106&lt;8,TRUE,)</formula>
    </cfRule>
  </conditionalFormatting>
  <conditionalFormatting sqref="L106">
    <cfRule type="expression" dxfId="697" priority="437" stopIfTrue="1">
      <formula>IF($S106&lt;7,TRUE,)</formula>
    </cfRule>
  </conditionalFormatting>
  <conditionalFormatting sqref="K106">
    <cfRule type="expression" dxfId="696" priority="436" stopIfTrue="1">
      <formula>IF($S106&lt;6,TRUE,)</formula>
    </cfRule>
  </conditionalFormatting>
  <conditionalFormatting sqref="J106">
    <cfRule type="expression" dxfId="695" priority="435" stopIfTrue="1">
      <formula>IF($S106&lt;5,TRUE,)</formula>
    </cfRule>
  </conditionalFormatting>
  <conditionalFormatting sqref="I106">
    <cfRule type="expression" dxfId="694" priority="434" stopIfTrue="1">
      <formula>IF($S106&lt;4,TRUE,)</formula>
    </cfRule>
  </conditionalFormatting>
  <conditionalFormatting sqref="H106">
    <cfRule type="expression" dxfId="693" priority="433" stopIfTrue="1">
      <formula>IF($S106&lt;3,TRUE,)</formula>
    </cfRule>
  </conditionalFormatting>
  <conditionalFormatting sqref="G106">
    <cfRule type="expression" dxfId="692" priority="432" stopIfTrue="1">
      <formula>IF($S106&lt;2,TRUE,)</formula>
    </cfRule>
  </conditionalFormatting>
  <conditionalFormatting sqref="F106">
    <cfRule type="expression" dxfId="691" priority="431" stopIfTrue="1">
      <formula>IF($S106&lt;1,TRUE,)</formula>
    </cfRule>
  </conditionalFormatting>
  <conditionalFormatting sqref="O106">
    <cfRule type="expression" dxfId="690" priority="430" stopIfTrue="1">
      <formula>IF($S106&lt;10,TRUE,)</formula>
    </cfRule>
  </conditionalFormatting>
  <conditionalFormatting sqref="F95:O96">
    <cfRule type="colorScale" priority="429">
      <colorScale>
        <cfvo type="num" val="0"/>
        <cfvo type="num" val="5"/>
        <cfvo type="num" val="10"/>
        <color rgb="FF00B050"/>
        <color rgb="FFFFFF00"/>
        <color rgb="FFFF0000"/>
      </colorScale>
    </cfRule>
  </conditionalFormatting>
  <conditionalFormatting sqref="N95:N96">
    <cfRule type="expression" dxfId="689" priority="428" stopIfTrue="1">
      <formula>IF($S95&lt;9,TRUE,)</formula>
    </cfRule>
  </conditionalFormatting>
  <conditionalFormatting sqref="M95:M96">
    <cfRule type="expression" dxfId="688" priority="427" stopIfTrue="1">
      <formula>IF($S95&lt;8,TRUE,)</formula>
    </cfRule>
  </conditionalFormatting>
  <conditionalFormatting sqref="L95:L96">
    <cfRule type="expression" dxfId="687" priority="426" stopIfTrue="1">
      <formula>IF($S95&lt;7,TRUE,)</formula>
    </cfRule>
  </conditionalFormatting>
  <conditionalFormatting sqref="K95:K96">
    <cfRule type="expression" dxfId="686" priority="425" stopIfTrue="1">
      <formula>IF($S95&lt;6,TRUE,)</formula>
    </cfRule>
  </conditionalFormatting>
  <conditionalFormatting sqref="J95:J96">
    <cfRule type="expression" dxfId="685" priority="424" stopIfTrue="1">
      <formula>IF($S95&lt;5,TRUE,)</formula>
    </cfRule>
  </conditionalFormatting>
  <conditionalFormatting sqref="I95:I96">
    <cfRule type="expression" dxfId="684" priority="423" stopIfTrue="1">
      <formula>IF($S95&lt;4,TRUE,)</formula>
    </cfRule>
  </conditionalFormatting>
  <conditionalFormatting sqref="H95:H96">
    <cfRule type="expression" dxfId="683" priority="422" stopIfTrue="1">
      <formula>IF($S95&lt;3,TRUE,)</formula>
    </cfRule>
  </conditionalFormatting>
  <conditionalFormatting sqref="G95:G96">
    <cfRule type="expression" dxfId="682" priority="421" stopIfTrue="1">
      <formula>IF($S95&lt;2,TRUE,)</formula>
    </cfRule>
  </conditionalFormatting>
  <conditionalFormatting sqref="F95:F96">
    <cfRule type="expression" dxfId="681" priority="420" stopIfTrue="1">
      <formula>IF($S95&lt;1,TRUE,)</formula>
    </cfRule>
  </conditionalFormatting>
  <conditionalFormatting sqref="O95:O96">
    <cfRule type="expression" dxfId="680" priority="419" stopIfTrue="1">
      <formula>IF($S95&lt;10,TRUE,)</formula>
    </cfRule>
  </conditionalFormatting>
  <conditionalFormatting sqref="F102:O103">
    <cfRule type="colorScale" priority="418">
      <colorScale>
        <cfvo type="num" val="0"/>
        <cfvo type="num" val="5"/>
        <cfvo type="num" val="10"/>
        <color rgb="FF00B050"/>
        <color rgb="FFFFFF00"/>
        <color rgb="FFFF0000"/>
      </colorScale>
    </cfRule>
  </conditionalFormatting>
  <conditionalFormatting sqref="N102:N103">
    <cfRule type="expression" dxfId="679" priority="417" stopIfTrue="1">
      <formula>IF($S102&lt;9,TRUE,)</formula>
    </cfRule>
  </conditionalFormatting>
  <conditionalFormatting sqref="M102:M103">
    <cfRule type="expression" dxfId="678" priority="416" stopIfTrue="1">
      <formula>IF($S102&lt;8,TRUE,)</formula>
    </cfRule>
  </conditionalFormatting>
  <conditionalFormatting sqref="L102:L103">
    <cfRule type="expression" dxfId="677" priority="415" stopIfTrue="1">
      <formula>IF($S102&lt;7,TRUE,)</formula>
    </cfRule>
  </conditionalFormatting>
  <conditionalFormatting sqref="K102:K103">
    <cfRule type="expression" dxfId="676" priority="414" stopIfTrue="1">
      <formula>IF($S102&lt;6,TRUE,)</formula>
    </cfRule>
  </conditionalFormatting>
  <conditionalFormatting sqref="J102:J103">
    <cfRule type="expression" dxfId="675" priority="413" stopIfTrue="1">
      <formula>IF($S102&lt;5,TRUE,)</formula>
    </cfRule>
  </conditionalFormatting>
  <conditionalFormatting sqref="I102:I103">
    <cfRule type="expression" dxfId="674" priority="412" stopIfTrue="1">
      <formula>IF($S102&lt;4,TRUE,)</formula>
    </cfRule>
  </conditionalFormatting>
  <conditionalFormatting sqref="H102:H103">
    <cfRule type="expression" dxfId="673" priority="411" stopIfTrue="1">
      <formula>IF($S102&lt;3,TRUE,)</formula>
    </cfRule>
  </conditionalFormatting>
  <conditionalFormatting sqref="G102:G103">
    <cfRule type="expression" dxfId="672" priority="410" stopIfTrue="1">
      <formula>IF($S102&lt;2,TRUE,)</formula>
    </cfRule>
  </conditionalFormatting>
  <conditionalFormatting sqref="F102:F103">
    <cfRule type="expression" dxfId="671" priority="409" stopIfTrue="1">
      <formula>IF($S102&lt;1,TRUE,)</formula>
    </cfRule>
  </conditionalFormatting>
  <conditionalFormatting sqref="O102:O103">
    <cfRule type="expression" dxfId="670" priority="408" stopIfTrue="1">
      <formula>IF($S102&lt;10,TRUE,)</formula>
    </cfRule>
  </conditionalFormatting>
  <conditionalFormatting sqref="F97:O98">
    <cfRule type="colorScale" priority="407">
      <colorScale>
        <cfvo type="num" val="0"/>
        <cfvo type="num" val="5"/>
        <cfvo type="num" val="10"/>
        <color rgb="FF00B050"/>
        <color rgb="FFFFFF00"/>
        <color rgb="FFFF0000"/>
      </colorScale>
    </cfRule>
  </conditionalFormatting>
  <conditionalFormatting sqref="N97:N98">
    <cfRule type="expression" dxfId="669" priority="406" stopIfTrue="1">
      <formula>IF($S97&lt;9,TRUE,)</formula>
    </cfRule>
  </conditionalFormatting>
  <conditionalFormatting sqref="M97:M98">
    <cfRule type="expression" dxfId="668" priority="405" stopIfTrue="1">
      <formula>IF($S97&lt;8,TRUE,)</formula>
    </cfRule>
  </conditionalFormatting>
  <conditionalFormatting sqref="L97:L98">
    <cfRule type="expression" dxfId="667" priority="404" stopIfTrue="1">
      <formula>IF($S97&lt;7,TRUE,)</formula>
    </cfRule>
  </conditionalFormatting>
  <conditionalFormatting sqref="K97:K98">
    <cfRule type="expression" dxfId="666" priority="403" stopIfTrue="1">
      <formula>IF($S97&lt;6,TRUE,)</formula>
    </cfRule>
  </conditionalFormatting>
  <conditionalFormatting sqref="J97:J98">
    <cfRule type="expression" dxfId="665" priority="402" stopIfTrue="1">
      <formula>IF($S97&lt;5,TRUE,)</formula>
    </cfRule>
  </conditionalFormatting>
  <conditionalFormatting sqref="I97:I98">
    <cfRule type="expression" dxfId="664" priority="401" stopIfTrue="1">
      <formula>IF($S97&lt;4,TRUE,)</formula>
    </cfRule>
  </conditionalFormatting>
  <conditionalFormatting sqref="H97:H98">
    <cfRule type="expression" dxfId="663" priority="400" stopIfTrue="1">
      <formula>IF($S97&lt;3,TRUE,)</formula>
    </cfRule>
  </conditionalFormatting>
  <conditionalFormatting sqref="G97:G98">
    <cfRule type="expression" dxfId="662" priority="399" stopIfTrue="1">
      <formula>IF($S97&lt;2,TRUE,)</formula>
    </cfRule>
  </conditionalFormatting>
  <conditionalFormatting sqref="F97:F98">
    <cfRule type="expression" dxfId="661" priority="398" stopIfTrue="1">
      <formula>IF($S97&lt;1,TRUE,)</formula>
    </cfRule>
  </conditionalFormatting>
  <conditionalFormatting sqref="O97:O98">
    <cfRule type="expression" dxfId="660" priority="397" stopIfTrue="1">
      <formula>IF($S97&lt;10,TRUE,)</formula>
    </cfRule>
  </conditionalFormatting>
  <conditionalFormatting sqref="F104:O105">
    <cfRule type="colorScale" priority="396">
      <colorScale>
        <cfvo type="num" val="0"/>
        <cfvo type="num" val="5"/>
        <cfvo type="num" val="10"/>
        <color rgb="FF00B050"/>
        <color rgb="FFFFFF00"/>
        <color rgb="FFFF0000"/>
      </colorScale>
    </cfRule>
  </conditionalFormatting>
  <conditionalFormatting sqref="N104:N105">
    <cfRule type="expression" dxfId="659" priority="395" stopIfTrue="1">
      <formula>IF($S104&lt;9,TRUE,)</formula>
    </cfRule>
  </conditionalFormatting>
  <conditionalFormatting sqref="M104:M105">
    <cfRule type="expression" dxfId="658" priority="394" stopIfTrue="1">
      <formula>IF($S104&lt;8,TRUE,)</formula>
    </cfRule>
  </conditionalFormatting>
  <conditionalFormatting sqref="L104:L105">
    <cfRule type="expression" dxfId="657" priority="393" stopIfTrue="1">
      <formula>IF($S104&lt;7,TRUE,)</formula>
    </cfRule>
  </conditionalFormatting>
  <conditionalFormatting sqref="K104:K105">
    <cfRule type="expression" dxfId="656" priority="392" stopIfTrue="1">
      <formula>IF($S104&lt;6,TRUE,)</formula>
    </cfRule>
  </conditionalFormatting>
  <conditionalFormatting sqref="J104:J105">
    <cfRule type="expression" dxfId="655" priority="391" stopIfTrue="1">
      <formula>IF($S104&lt;5,TRUE,)</formula>
    </cfRule>
  </conditionalFormatting>
  <conditionalFormatting sqref="I104:I105">
    <cfRule type="expression" dxfId="654" priority="390" stopIfTrue="1">
      <formula>IF($S104&lt;4,TRUE,)</formula>
    </cfRule>
  </conditionalFormatting>
  <conditionalFormatting sqref="H104:H105">
    <cfRule type="expression" dxfId="653" priority="389" stopIfTrue="1">
      <formula>IF($S104&lt;3,TRUE,)</formula>
    </cfRule>
  </conditionalFormatting>
  <conditionalFormatting sqref="G104:G105">
    <cfRule type="expression" dxfId="652" priority="388" stopIfTrue="1">
      <formula>IF($S104&lt;2,TRUE,)</formula>
    </cfRule>
  </conditionalFormatting>
  <conditionalFormatting sqref="F104:F105">
    <cfRule type="expression" dxfId="651" priority="387" stopIfTrue="1">
      <formula>IF($S104&lt;1,TRUE,)</formula>
    </cfRule>
  </conditionalFormatting>
  <conditionalFormatting sqref="O104:O105">
    <cfRule type="expression" dxfId="650" priority="386" stopIfTrue="1">
      <formula>IF($S104&lt;10,TRUE,)</formula>
    </cfRule>
  </conditionalFormatting>
  <conditionalFormatting sqref="F58:O58">
    <cfRule type="colorScale" priority="385">
      <colorScale>
        <cfvo type="num" val="0"/>
        <cfvo type="num" val="5"/>
        <cfvo type="num" val="10"/>
        <color rgb="FF00B050"/>
        <color rgb="FFFFFF00"/>
        <color rgb="FFFF0000"/>
      </colorScale>
    </cfRule>
  </conditionalFormatting>
  <conditionalFormatting sqref="N58">
    <cfRule type="expression" dxfId="649" priority="384" stopIfTrue="1">
      <formula>IF($S58&lt;9,TRUE,)</formula>
    </cfRule>
  </conditionalFormatting>
  <conditionalFormatting sqref="M58">
    <cfRule type="expression" dxfId="648" priority="383" stopIfTrue="1">
      <formula>IF($S58&lt;8,TRUE,)</formula>
    </cfRule>
  </conditionalFormatting>
  <conditionalFormatting sqref="L58">
    <cfRule type="expression" dxfId="647" priority="382" stopIfTrue="1">
      <formula>IF($S58&lt;7,TRUE,)</formula>
    </cfRule>
  </conditionalFormatting>
  <conditionalFormatting sqref="K58">
    <cfRule type="expression" dxfId="646" priority="381" stopIfTrue="1">
      <formula>IF($S58&lt;6,TRUE,)</formula>
    </cfRule>
  </conditionalFormatting>
  <conditionalFormatting sqref="J58">
    <cfRule type="expression" dxfId="645" priority="380" stopIfTrue="1">
      <formula>IF($S58&lt;5,TRUE,)</formula>
    </cfRule>
  </conditionalFormatting>
  <conditionalFormatting sqref="I58">
    <cfRule type="expression" dxfId="644" priority="379" stopIfTrue="1">
      <formula>IF($S58&lt;4,TRUE,)</formula>
    </cfRule>
  </conditionalFormatting>
  <conditionalFormatting sqref="H58">
    <cfRule type="expression" dxfId="643" priority="378" stopIfTrue="1">
      <formula>IF($S58&lt;3,TRUE,)</formula>
    </cfRule>
  </conditionalFormatting>
  <conditionalFormatting sqref="G58">
    <cfRule type="expression" dxfId="642" priority="377" stopIfTrue="1">
      <formula>IF($S58&lt;2,TRUE,)</formula>
    </cfRule>
  </conditionalFormatting>
  <conditionalFormatting sqref="F58">
    <cfRule type="expression" dxfId="641" priority="376" stopIfTrue="1">
      <formula>IF($S58&lt;1,TRUE,)</formula>
    </cfRule>
  </conditionalFormatting>
  <conditionalFormatting sqref="O58">
    <cfRule type="expression" dxfId="640" priority="375" stopIfTrue="1">
      <formula>IF($S58&lt;10,TRUE,)</formula>
    </cfRule>
  </conditionalFormatting>
  <conditionalFormatting sqref="F47:O48">
    <cfRule type="colorScale" priority="374">
      <colorScale>
        <cfvo type="num" val="0"/>
        <cfvo type="num" val="5"/>
        <cfvo type="num" val="10"/>
        <color rgb="FF00B050"/>
        <color rgb="FFFFFF00"/>
        <color rgb="FFFF0000"/>
      </colorScale>
    </cfRule>
  </conditionalFormatting>
  <conditionalFormatting sqref="N47:N48">
    <cfRule type="expression" dxfId="639" priority="373" stopIfTrue="1">
      <formula>IF($S47&lt;9,TRUE,)</formula>
    </cfRule>
  </conditionalFormatting>
  <conditionalFormatting sqref="M47:M48">
    <cfRule type="expression" dxfId="638" priority="372" stopIfTrue="1">
      <formula>IF($S47&lt;8,TRUE,)</formula>
    </cfRule>
  </conditionalFormatting>
  <conditionalFormatting sqref="L47:L48">
    <cfRule type="expression" dxfId="637" priority="371" stopIfTrue="1">
      <formula>IF($S47&lt;7,TRUE,)</formula>
    </cfRule>
  </conditionalFormatting>
  <conditionalFormatting sqref="K47:K48">
    <cfRule type="expression" dxfId="636" priority="370" stopIfTrue="1">
      <formula>IF($S47&lt;6,TRUE,)</formula>
    </cfRule>
  </conditionalFormatting>
  <conditionalFormatting sqref="J47:J48">
    <cfRule type="expression" dxfId="635" priority="369" stopIfTrue="1">
      <formula>IF($S47&lt;5,TRUE,)</formula>
    </cfRule>
  </conditionalFormatting>
  <conditionalFormatting sqref="I47:I48">
    <cfRule type="expression" dxfId="634" priority="368" stopIfTrue="1">
      <formula>IF($S47&lt;4,TRUE,)</formula>
    </cfRule>
  </conditionalFormatting>
  <conditionalFormatting sqref="H47:H48">
    <cfRule type="expression" dxfId="633" priority="367" stopIfTrue="1">
      <formula>IF($S47&lt;3,TRUE,)</formula>
    </cfRule>
  </conditionalFormatting>
  <conditionalFormatting sqref="G47:G48">
    <cfRule type="expression" dxfId="632" priority="366" stopIfTrue="1">
      <formula>IF($S47&lt;2,TRUE,)</formula>
    </cfRule>
  </conditionalFormatting>
  <conditionalFormatting sqref="F47:F48">
    <cfRule type="expression" dxfId="631" priority="365" stopIfTrue="1">
      <formula>IF($S47&lt;1,TRUE,)</formula>
    </cfRule>
  </conditionalFormatting>
  <conditionalFormatting sqref="O47:O48">
    <cfRule type="expression" dxfId="630" priority="364" stopIfTrue="1">
      <formula>IF($S47&lt;10,TRUE,)</formula>
    </cfRule>
  </conditionalFormatting>
  <conditionalFormatting sqref="F54:O55">
    <cfRule type="colorScale" priority="363">
      <colorScale>
        <cfvo type="num" val="0"/>
        <cfvo type="num" val="5"/>
        <cfvo type="num" val="10"/>
        <color rgb="FF00B050"/>
        <color rgb="FFFFFF00"/>
        <color rgb="FFFF0000"/>
      </colorScale>
    </cfRule>
  </conditionalFormatting>
  <conditionalFormatting sqref="N54:N55">
    <cfRule type="expression" dxfId="629" priority="362" stopIfTrue="1">
      <formula>IF($S54&lt;9,TRUE,)</formula>
    </cfRule>
  </conditionalFormatting>
  <conditionalFormatting sqref="M54:M55">
    <cfRule type="expression" dxfId="628" priority="361" stopIfTrue="1">
      <formula>IF($S54&lt;8,TRUE,)</formula>
    </cfRule>
  </conditionalFormatting>
  <conditionalFormatting sqref="L54:L55">
    <cfRule type="expression" dxfId="627" priority="360" stopIfTrue="1">
      <formula>IF($S54&lt;7,TRUE,)</formula>
    </cfRule>
  </conditionalFormatting>
  <conditionalFormatting sqref="K54:K55">
    <cfRule type="expression" dxfId="626" priority="359" stopIfTrue="1">
      <formula>IF($S54&lt;6,TRUE,)</formula>
    </cfRule>
  </conditionalFormatting>
  <conditionalFormatting sqref="J54:J55">
    <cfRule type="expression" dxfId="625" priority="358" stopIfTrue="1">
      <formula>IF($S54&lt;5,TRUE,)</formula>
    </cfRule>
  </conditionalFormatting>
  <conditionalFormatting sqref="I54:I55">
    <cfRule type="expression" dxfId="624" priority="357" stopIfTrue="1">
      <formula>IF($S54&lt;4,TRUE,)</formula>
    </cfRule>
  </conditionalFormatting>
  <conditionalFormatting sqref="H54:H55">
    <cfRule type="expression" dxfId="623" priority="356" stopIfTrue="1">
      <formula>IF($S54&lt;3,TRUE,)</formula>
    </cfRule>
  </conditionalFormatting>
  <conditionalFormatting sqref="G54:G55">
    <cfRule type="expression" dxfId="622" priority="355" stopIfTrue="1">
      <formula>IF($S54&lt;2,TRUE,)</formula>
    </cfRule>
  </conditionalFormatting>
  <conditionalFormatting sqref="F54:F55">
    <cfRule type="expression" dxfId="621" priority="354" stopIfTrue="1">
      <formula>IF($S54&lt;1,TRUE,)</formula>
    </cfRule>
  </conditionalFormatting>
  <conditionalFormatting sqref="O54:O55">
    <cfRule type="expression" dxfId="620" priority="353" stopIfTrue="1">
      <formula>IF($S54&lt;10,TRUE,)</formula>
    </cfRule>
  </conditionalFormatting>
  <conditionalFormatting sqref="F49:O50">
    <cfRule type="colorScale" priority="352">
      <colorScale>
        <cfvo type="num" val="0"/>
        <cfvo type="num" val="5"/>
        <cfvo type="num" val="10"/>
        <color rgb="FF00B050"/>
        <color rgb="FFFFFF00"/>
        <color rgb="FFFF0000"/>
      </colorScale>
    </cfRule>
  </conditionalFormatting>
  <conditionalFormatting sqref="N49:N50">
    <cfRule type="expression" dxfId="619" priority="351" stopIfTrue="1">
      <formula>IF($S49&lt;9,TRUE,)</formula>
    </cfRule>
  </conditionalFormatting>
  <conditionalFormatting sqref="M49:M50">
    <cfRule type="expression" dxfId="618" priority="350" stopIfTrue="1">
      <formula>IF($S49&lt;8,TRUE,)</formula>
    </cfRule>
  </conditionalFormatting>
  <conditionalFormatting sqref="L49:L50">
    <cfRule type="expression" dxfId="617" priority="349" stopIfTrue="1">
      <formula>IF($S49&lt;7,TRUE,)</formula>
    </cfRule>
  </conditionalFormatting>
  <conditionalFormatting sqref="K49:K50">
    <cfRule type="expression" dxfId="616" priority="348" stopIfTrue="1">
      <formula>IF($S49&lt;6,TRUE,)</formula>
    </cfRule>
  </conditionalFormatting>
  <conditionalFormatting sqref="J49:J50">
    <cfRule type="expression" dxfId="615" priority="347" stopIfTrue="1">
      <formula>IF($S49&lt;5,TRUE,)</formula>
    </cfRule>
  </conditionalFormatting>
  <conditionalFormatting sqref="I49:I50">
    <cfRule type="expression" dxfId="614" priority="346" stopIfTrue="1">
      <formula>IF($S49&lt;4,TRUE,)</formula>
    </cfRule>
  </conditionalFormatting>
  <conditionalFormatting sqref="H49:H50">
    <cfRule type="expression" dxfId="613" priority="345" stopIfTrue="1">
      <formula>IF($S49&lt;3,TRUE,)</formula>
    </cfRule>
  </conditionalFormatting>
  <conditionalFormatting sqref="G49:G50">
    <cfRule type="expression" dxfId="612" priority="344" stopIfTrue="1">
      <formula>IF($S49&lt;2,TRUE,)</formula>
    </cfRule>
  </conditionalFormatting>
  <conditionalFormatting sqref="F49:F50">
    <cfRule type="expression" dxfId="611" priority="343" stopIfTrue="1">
      <formula>IF($S49&lt;1,TRUE,)</formula>
    </cfRule>
  </conditionalFormatting>
  <conditionalFormatting sqref="O49:O50">
    <cfRule type="expression" dxfId="610" priority="342" stopIfTrue="1">
      <formula>IF($S49&lt;10,TRUE,)</formula>
    </cfRule>
  </conditionalFormatting>
  <conditionalFormatting sqref="F56:O57">
    <cfRule type="colorScale" priority="341">
      <colorScale>
        <cfvo type="num" val="0"/>
        <cfvo type="num" val="5"/>
        <cfvo type="num" val="10"/>
        <color rgb="FF00B050"/>
        <color rgb="FFFFFF00"/>
        <color rgb="FFFF0000"/>
      </colorScale>
    </cfRule>
  </conditionalFormatting>
  <conditionalFormatting sqref="N56:N57">
    <cfRule type="expression" dxfId="609" priority="340" stopIfTrue="1">
      <formula>IF($S56&lt;9,TRUE,)</formula>
    </cfRule>
  </conditionalFormatting>
  <conditionalFormatting sqref="M56:M57">
    <cfRule type="expression" dxfId="608" priority="339" stopIfTrue="1">
      <formula>IF($S56&lt;8,TRUE,)</formula>
    </cfRule>
  </conditionalFormatting>
  <conditionalFormatting sqref="L56:L57">
    <cfRule type="expression" dxfId="607" priority="338" stopIfTrue="1">
      <formula>IF($S56&lt;7,TRUE,)</formula>
    </cfRule>
  </conditionalFormatting>
  <conditionalFormatting sqref="K56:K57">
    <cfRule type="expression" dxfId="606" priority="337" stopIfTrue="1">
      <formula>IF($S56&lt;6,TRUE,)</formula>
    </cfRule>
  </conditionalFormatting>
  <conditionalFormatting sqref="J56:J57">
    <cfRule type="expression" dxfId="605" priority="336" stopIfTrue="1">
      <formula>IF($S56&lt;5,TRUE,)</formula>
    </cfRule>
  </conditionalFormatting>
  <conditionalFormatting sqref="I56:I57">
    <cfRule type="expression" dxfId="604" priority="335" stopIfTrue="1">
      <formula>IF($S56&lt;4,TRUE,)</formula>
    </cfRule>
  </conditionalFormatting>
  <conditionalFormatting sqref="H56:H57">
    <cfRule type="expression" dxfId="603" priority="334" stopIfTrue="1">
      <formula>IF($S56&lt;3,TRUE,)</formula>
    </cfRule>
  </conditionalFormatting>
  <conditionalFormatting sqref="G56:G57">
    <cfRule type="expression" dxfId="602" priority="333" stopIfTrue="1">
      <formula>IF($S56&lt;2,TRUE,)</formula>
    </cfRule>
  </conditionalFormatting>
  <conditionalFormatting sqref="F56:F57">
    <cfRule type="expression" dxfId="601" priority="332" stopIfTrue="1">
      <formula>IF($S56&lt;1,TRUE,)</formula>
    </cfRule>
  </conditionalFormatting>
  <conditionalFormatting sqref="O56:O57">
    <cfRule type="expression" dxfId="600" priority="331" stopIfTrue="1">
      <formula>IF($S56&lt;10,TRUE,)</formula>
    </cfRule>
  </conditionalFormatting>
  <conditionalFormatting sqref="F90:O90">
    <cfRule type="colorScale" priority="330">
      <colorScale>
        <cfvo type="num" val="0"/>
        <cfvo type="num" val="5"/>
        <cfvo type="num" val="10"/>
        <color rgb="FF00B050"/>
        <color rgb="FFFFFF00"/>
        <color rgb="FFFF0000"/>
      </colorScale>
    </cfRule>
  </conditionalFormatting>
  <conditionalFormatting sqref="N90">
    <cfRule type="expression" dxfId="599" priority="329" stopIfTrue="1">
      <formula>IF($S90&lt;9,TRUE,)</formula>
    </cfRule>
  </conditionalFormatting>
  <conditionalFormatting sqref="M90">
    <cfRule type="expression" dxfId="598" priority="328" stopIfTrue="1">
      <formula>IF($S90&lt;8,TRUE,)</formula>
    </cfRule>
  </conditionalFormatting>
  <conditionalFormatting sqref="L90">
    <cfRule type="expression" dxfId="597" priority="327" stopIfTrue="1">
      <formula>IF($S90&lt;7,TRUE,)</formula>
    </cfRule>
  </conditionalFormatting>
  <conditionalFormatting sqref="K90">
    <cfRule type="expression" dxfId="596" priority="326" stopIfTrue="1">
      <formula>IF($S90&lt;6,TRUE,)</formula>
    </cfRule>
  </conditionalFormatting>
  <conditionalFormatting sqref="J90">
    <cfRule type="expression" dxfId="595" priority="325" stopIfTrue="1">
      <formula>IF($S90&lt;5,TRUE,)</formula>
    </cfRule>
  </conditionalFormatting>
  <conditionalFormatting sqref="I90">
    <cfRule type="expression" dxfId="594" priority="324" stopIfTrue="1">
      <formula>IF($S90&lt;4,TRUE,)</formula>
    </cfRule>
  </conditionalFormatting>
  <conditionalFormatting sqref="H90">
    <cfRule type="expression" dxfId="593" priority="323" stopIfTrue="1">
      <formula>IF($S90&lt;3,TRUE,)</formula>
    </cfRule>
  </conditionalFormatting>
  <conditionalFormatting sqref="G90">
    <cfRule type="expression" dxfId="592" priority="322" stopIfTrue="1">
      <formula>IF($S90&lt;2,TRUE,)</formula>
    </cfRule>
  </conditionalFormatting>
  <conditionalFormatting sqref="F90">
    <cfRule type="expression" dxfId="591" priority="321" stopIfTrue="1">
      <formula>IF($S90&lt;1,TRUE,)</formula>
    </cfRule>
  </conditionalFormatting>
  <conditionalFormatting sqref="O90">
    <cfRule type="expression" dxfId="590" priority="320" stopIfTrue="1">
      <formula>IF($S90&lt;10,TRUE,)</formula>
    </cfRule>
  </conditionalFormatting>
  <conditionalFormatting sqref="F79:O80">
    <cfRule type="colorScale" priority="319">
      <colorScale>
        <cfvo type="num" val="0"/>
        <cfvo type="num" val="5"/>
        <cfvo type="num" val="10"/>
        <color rgb="FF00B050"/>
        <color rgb="FFFFFF00"/>
        <color rgb="FFFF0000"/>
      </colorScale>
    </cfRule>
  </conditionalFormatting>
  <conditionalFormatting sqref="N79:N80">
    <cfRule type="expression" dxfId="589" priority="318" stopIfTrue="1">
      <formula>IF($S79&lt;9,TRUE,)</formula>
    </cfRule>
  </conditionalFormatting>
  <conditionalFormatting sqref="M79:M80">
    <cfRule type="expression" dxfId="588" priority="317" stopIfTrue="1">
      <formula>IF($S79&lt;8,TRUE,)</formula>
    </cfRule>
  </conditionalFormatting>
  <conditionalFormatting sqref="L79:L80">
    <cfRule type="expression" dxfId="587" priority="316" stopIfTrue="1">
      <formula>IF($S79&lt;7,TRUE,)</formula>
    </cfRule>
  </conditionalFormatting>
  <conditionalFormatting sqref="K79:K80">
    <cfRule type="expression" dxfId="586" priority="315" stopIfTrue="1">
      <formula>IF($S79&lt;6,TRUE,)</formula>
    </cfRule>
  </conditionalFormatting>
  <conditionalFormatting sqref="J79:J80">
    <cfRule type="expression" dxfId="585" priority="314" stopIfTrue="1">
      <formula>IF($S79&lt;5,TRUE,)</formula>
    </cfRule>
  </conditionalFormatting>
  <conditionalFormatting sqref="I79:I80">
    <cfRule type="expression" dxfId="584" priority="313" stopIfTrue="1">
      <formula>IF($S79&lt;4,TRUE,)</formula>
    </cfRule>
  </conditionalFormatting>
  <conditionalFormatting sqref="H79:H80">
    <cfRule type="expression" dxfId="583" priority="312" stopIfTrue="1">
      <formula>IF($S79&lt;3,TRUE,)</formula>
    </cfRule>
  </conditionalFormatting>
  <conditionalFormatting sqref="G79:G80">
    <cfRule type="expression" dxfId="582" priority="311" stopIfTrue="1">
      <formula>IF($S79&lt;2,TRUE,)</formula>
    </cfRule>
  </conditionalFormatting>
  <conditionalFormatting sqref="F79:F80">
    <cfRule type="expression" dxfId="581" priority="310" stopIfTrue="1">
      <formula>IF($S79&lt;1,TRUE,)</formula>
    </cfRule>
  </conditionalFormatting>
  <conditionalFormatting sqref="O79:O80">
    <cfRule type="expression" dxfId="580" priority="309" stopIfTrue="1">
      <formula>IF($S79&lt;10,TRUE,)</formula>
    </cfRule>
  </conditionalFormatting>
  <conditionalFormatting sqref="F86:O87">
    <cfRule type="colorScale" priority="308">
      <colorScale>
        <cfvo type="num" val="0"/>
        <cfvo type="num" val="5"/>
        <cfvo type="num" val="10"/>
        <color rgb="FF00B050"/>
        <color rgb="FFFFFF00"/>
        <color rgb="FFFF0000"/>
      </colorScale>
    </cfRule>
  </conditionalFormatting>
  <conditionalFormatting sqref="N86:N87">
    <cfRule type="expression" dxfId="579" priority="307" stopIfTrue="1">
      <formula>IF($S86&lt;9,TRUE,)</formula>
    </cfRule>
  </conditionalFormatting>
  <conditionalFormatting sqref="M86:M87">
    <cfRule type="expression" dxfId="578" priority="306" stopIfTrue="1">
      <formula>IF($S86&lt;8,TRUE,)</formula>
    </cfRule>
  </conditionalFormatting>
  <conditionalFormatting sqref="L86:L87">
    <cfRule type="expression" dxfId="577" priority="305" stopIfTrue="1">
      <formula>IF($S86&lt;7,TRUE,)</formula>
    </cfRule>
  </conditionalFormatting>
  <conditionalFormatting sqref="K86:K87">
    <cfRule type="expression" dxfId="576" priority="304" stopIfTrue="1">
      <formula>IF($S86&lt;6,TRUE,)</formula>
    </cfRule>
  </conditionalFormatting>
  <conditionalFormatting sqref="J86:J87">
    <cfRule type="expression" dxfId="575" priority="303" stopIfTrue="1">
      <formula>IF($S86&lt;5,TRUE,)</formula>
    </cfRule>
  </conditionalFormatting>
  <conditionalFormatting sqref="I86:I87">
    <cfRule type="expression" dxfId="574" priority="302" stopIfTrue="1">
      <formula>IF($S86&lt;4,TRUE,)</formula>
    </cfRule>
  </conditionalFormatting>
  <conditionalFormatting sqref="H86:H87">
    <cfRule type="expression" dxfId="573" priority="301" stopIfTrue="1">
      <formula>IF($S86&lt;3,TRUE,)</formula>
    </cfRule>
  </conditionalFormatting>
  <conditionalFormatting sqref="G86:G87">
    <cfRule type="expression" dxfId="572" priority="300" stopIfTrue="1">
      <formula>IF($S86&lt;2,TRUE,)</formula>
    </cfRule>
  </conditionalFormatting>
  <conditionalFormatting sqref="F86:F87">
    <cfRule type="expression" dxfId="571" priority="299" stopIfTrue="1">
      <formula>IF($S86&lt;1,TRUE,)</formula>
    </cfRule>
  </conditionalFormatting>
  <conditionalFormatting sqref="O86:O87">
    <cfRule type="expression" dxfId="570" priority="298" stopIfTrue="1">
      <formula>IF($S86&lt;10,TRUE,)</formula>
    </cfRule>
  </conditionalFormatting>
  <conditionalFormatting sqref="F81:O82">
    <cfRule type="colorScale" priority="297">
      <colorScale>
        <cfvo type="num" val="0"/>
        <cfvo type="num" val="5"/>
        <cfvo type="num" val="10"/>
        <color rgb="FF00B050"/>
        <color rgb="FFFFFF00"/>
        <color rgb="FFFF0000"/>
      </colorScale>
    </cfRule>
  </conditionalFormatting>
  <conditionalFormatting sqref="N81:N82">
    <cfRule type="expression" dxfId="569" priority="296" stopIfTrue="1">
      <formula>IF($S81&lt;9,TRUE,)</formula>
    </cfRule>
  </conditionalFormatting>
  <conditionalFormatting sqref="M81:M82">
    <cfRule type="expression" dxfId="568" priority="295" stopIfTrue="1">
      <formula>IF($S81&lt;8,TRUE,)</formula>
    </cfRule>
  </conditionalFormatting>
  <conditionalFormatting sqref="L81:L82">
    <cfRule type="expression" dxfId="567" priority="294" stopIfTrue="1">
      <formula>IF($S81&lt;7,TRUE,)</formula>
    </cfRule>
  </conditionalFormatting>
  <conditionalFormatting sqref="K81:K82">
    <cfRule type="expression" dxfId="566" priority="293" stopIfTrue="1">
      <formula>IF($S81&lt;6,TRUE,)</formula>
    </cfRule>
  </conditionalFormatting>
  <conditionalFormatting sqref="J81:J82">
    <cfRule type="expression" dxfId="565" priority="292" stopIfTrue="1">
      <formula>IF($S81&lt;5,TRUE,)</formula>
    </cfRule>
  </conditionalFormatting>
  <conditionalFormatting sqref="I81:I82">
    <cfRule type="expression" dxfId="564" priority="291" stopIfTrue="1">
      <formula>IF($S81&lt;4,TRUE,)</formula>
    </cfRule>
  </conditionalFormatting>
  <conditionalFormatting sqref="H81:H82">
    <cfRule type="expression" dxfId="563" priority="290" stopIfTrue="1">
      <formula>IF($S81&lt;3,TRUE,)</formula>
    </cfRule>
  </conditionalFormatting>
  <conditionalFormatting sqref="G81:G82">
    <cfRule type="expression" dxfId="562" priority="289" stopIfTrue="1">
      <formula>IF($S81&lt;2,TRUE,)</formula>
    </cfRule>
  </conditionalFormatting>
  <conditionalFormatting sqref="F81:F82">
    <cfRule type="expression" dxfId="561" priority="288" stopIfTrue="1">
      <formula>IF($S81&lt;1,TRUE,)</formula>
    </cfRule>
  </conditionalFormatting>
  <conditionalFormatting sqref="O81:O82">
    <cfRule type="expression" dxfId="560" priority="287" stopIfTrue="1">
      <formula>IF($S81&lt;10,TRUE,)</formula>
    </cfRule>
  </conditionalFormatting>
  <conditionalFormatting sqref="F88:O89">
    <cfRule type="colorScale" priority="286">
      <colorScale>
        <cfvo type="num" val="0"/>
        <cfvo type="num" val="5"/>
        <cfvo type="num" val="10"/>
        <color rgb="FF00B050"/>
        <color rgb="FFFFFF00"/>
        <color rgb="FFFF0000"/>
      </colorScale>
    </cfRule>
  </conditionalFormatting>
  <conditionalFormatting sqref="N88:N89">
    <cfRule type="expression" dxfId="559" priority="285" stopIfTrue="1">
      <formula>IF($S88&lt;9,TRUE,)</formula>
    </cfRule>
  </conditionalFormatting>
  <conditionalFormatting sqref="M88:M89">
    <cfRule type="expression" dxfId="558" priority="284" stopIfTrue="1">
      <formula>IF($S88&lt;8,TRUE,)</formula>
    </cfRule>
  </conditionalFormatting>
  <conditionalFormatting sqref="L88:L89">
    <cfRule type="expression" dxfId="557" priority="283" stopIfTrue="1">
      <formula>IF($S88&lt;7,TRUE,)</formula>
    </cfRule>
  </conditionalFormatting>
  <conditionalFormatting sqref="K88:K89">
    <cfRule type="expression" dxfId="556" priority="282" stopIfTrue="1">
      <formula>IF($S88&lt;6,TRUE,)</formula>
    </cfRule>
  </conditionalFormatting>
  <conditionalFormatting sqref="J88:J89">
    <cfRule type="expression" dxfId="555" priority="281" stopIfTrue="1">
      <formula>IF($S88&lt;5,TRUE,)</formula>
    </cfRule>
  </conditionalFormatting>
  <conditionalFormatting sqref="I88:I89">
    <cfRule type="expression" dxfId="554" priority="280" stopIfTrue="1">
      <formula>IF($S88&lt;4,TRUE,)</formula>
    </cfRule>
  </conditionalFormatting>
  <conditionalFormatting sqref="H88:H89">
    <cfRule type="expression" dxfId="553" priority="279" stopIfTrue="1">
      <formula>IF($S88&lt;3,TRUE,)</formula>
    </cfRule>
  </conditionalFormatting>
  <conditionalFormatting sqref="G88:G89">
    <cfRule type="expression" dxfId="552" priority="278" stopIfTrue="1">
      <formula>IF($S88&lt;2,TRUE,)</formula>
    </cfRule>
  </conditionalFormatting>
  <conditionalFormatting sqref="F88:F89">
    <cfRule type="expression" dxfId="551" priority="277" stopIfTrue="1">
      <formula>IF($S88&lt;1,TRUE,)</formula>
    </cfRule>
  </conditionalFormatting>
  <conditionalFormatting sqref="O88:O89">
    <cfRule type="expression" dxfId="550" priority="276" stopIfTrue="1">
      <formula>IF($S88&lt;10,TRUE,)</formula>
    </cfRule>
  </conditionalFormatting>
  <conditionalFormatting sqref="F90:O90">
    <cfRule type="colorScale" priority="275">
      <colorScale>
        <cfvo type="num" val="0"/>
        <cfvo type="num" val="5"/>
        <cfvo type="num" val="10"/>
        <color rgb="FF00B050"/>
        <color rgb="FFFFFF00"/>
        <color rgb="FFFF0000"/>
      </colorScale>
    </cfRule>
  </conditionalFormatting>
  <conditionalFormatting sqref="N90">
    <cfRule type="expression" dxfId="549" priority="274" stopIfTrue="1">
      <formula>IF($S90&lt;9,TRUE,)</formula>
    </cfRule>
  </conditionalFormatting>
  <conditionalFormatting sqref="M90">
    <cfRule type="expression" dxfId="548" priority="273" stopIfTrue="1">
      <formula>IF($S90&lt;8,TRUE,)</formula>
    </cfRule>
  </conditionalFormatting>
  <conditionalFormatting sqref="L90">
    <cfRule type="expression" dxfId="547" priority="272" stopIfTrue="1">
      <formula>IF($S90&lt;7,TRUE,)</formula>
    </cfRule>
  </conditionalFormatting>
  <conditionalFormatting sqref="K90">
    <cfRule type="expression" dxfId="546" priority="271" stopIfTrue="1">
      <formula>IF($S90&lt;6,TRUE,)</formula>
    </cfRule>
  </conditionalFormatting>
  <conditionalFormatting sqref="J90">
    <cfRule type="expression" dxfId="545" priority="270" stopIfTrue="1">
      <formula>IF($S90&lt;5,TRUE,)</formula>
    </cfRule>
  </conditionalFormatting>
  <conditionalFormatting sqref="I90">
    <cfRule type="expression" dxfId="544" priority="269" stopIfTrue="1">
      <formula>IF($S90&lt;4,TRUE,)</formula>
    </cfRule>
  </conditionalFormatting>
  <conditionalFormatting sqref="H90">
    <cfRule type="expression" dxfId="543" priority="268" stopIfTrue="1">
      <formula>IF($S90&lt;3,TRUE,)</formula>
    </cfRule>
  </conditionalFormatting>
  <conditionalFormatting sqref="G90">
    <cfRule type="expression" dxfId="542" priority="267" stopIfTrue="1">
      <formula>IF($S90&lt;2,TRUE,)</formula>
    </cfRule>
  </conditionalFormatting>
  <conditionalFormatting sqref="F90">
    <cfRule type="expression" dxfId="541" priority="266" stopIfTrue="1">
      <formula>IF($S90&lt;1,TRUE,)</formula>
    </cfRule>
  </conditionalFormatting>
  <conditionalFormatting sqref="O90">
    <cfRule type="expression" dxfId="540" priority="265" stopIfTrue="1">
      <formula>IF($S90&lt;10,TRUE,)</formula>
    </cfRule>
  </conditionalFormatting>
  <conditionalFormatting sqref="F79:O80">
    <cfRule type="colorScale" priority="264">
      <colorScale>
        <cfvo type="num" val="0"/>
        <cfvo type="num" val="5"/>
        <cfvo type="num" val="10"/>
        <color rgb="FF00B050"/>
        <color rgb="FFFFFF00"/>
        <color rgb="FFFF0000"/>
      </colorScale>
    </cfRule>
  </conditionalFormatting>
  <conditionalFormatting sqref="N79:N80">
    <cfRule type="expression" dxfId="539" priority="263" stopIfTrue="1">
      <formula>IF($S79&lt;9,TRUE,)</formula>
    </cfRule>
  </conditionalFormatting>
  <conditionalFormatting sqref="M79:M80">
    <cfRule type="expression" dxfId="538" priority="262" stopIfTrue="1">
      <formula>IF($S79&lt;8,TRUE,)</formula>
    </cfRule>
  </conditionalFormatting>
  <conditionalFormatting sqref="L79:L80">
    <cfRule type="expression" dxfId="537" priority="261" stopIfTrue="1">
      <formula>IF($S79&lt;7,TRUE,)</formula>
    </cfRule>
  </conditionalFormatting>
  <conditionalFormatting sqref="K79:K80">
    <cfRule type="expression" dxfId="536" priority="260" stopIfTrue="1">
      <formula>IF($S79&lt;6,TRUE,)</formula>
    </cfRule>
  </conditionalFormatting>
  <conditionalFormatting sqref="J79:J80">
    <cfRule type="expression" dxfId="535" priority="259" stopIfTrue="1">
      <formula>IF($S79&lt;5,TRUE,)</formula>
    </cfRule>
  </conditionalFormatting>
  <conditionalFormatting sqref="I79:I80">
    <cfRule type="expression" dxfId="534" priority="258" stopIfTrue="1">
      <formula>IF($S79&lt;4,TRUE,)</formula>
    </cfRule>
  </conditionalFormatting>
  <conditionalFormatting sqref="H79:H80">
    <cfRule type="expression" dxfId="533" priority="257" stopIfTrue="1">
      <formula>IF($S79&lt;3,TRUE,)</formula>
    </cfRule>
  </conditionalFormatting>
  <conditionalFormatting sqref="G79:G80">
    <cfRule type="expression" dxfId="532" priority="256" stopIfTrue="1">
      <formula>IF($S79&lt;2,TRUE,)</formula>
    </cfRule>
  </conditionalFormatting>
  <conditionalFormatting sqref="F79:F80">
    <cfRule type="expression" dxfId="531" priority="255" stopIfTrue="1">
      <formula>IF($S79&lt;1,TRUE,)</formula>
    </cfRule>
  </conditionalFormatting>
  <conditionalFormatting sqref="O79:O80">
    <cfRule type="expression" dxfId="530" priority="254" stopIfTrue="1">
      <formula>IF($S79&lt;10,TRUE,)</formula>
    </cfRule>
  </conditionalFormatting>
  <conditionalFormatting sqref="F86:O87">
    <cfRule type="colorScale" priority="253">
      <colorScale>
        <cfvo type="num" val="0"/>
        <cfvo type="num" val="5"/>
        <cfvo type="num" val="10"/>
        <color rgb="FF00B050"/>
        <color rgb="FFFFFF00"/>
        <color rgb="FFFF0000"/>
      </colorScale>
    </cfRule>
  </conditionalFormatting>
  <conditionalFormatting sqref="N86:N87">
    <cfRule type="expression" dxfId="529" priority="252" stopIfTrue="1">
      <formula>IF($S86&lt;9,TRUE,)</formula>
    </cfRule>
  </conditionalFormatting>
  <conditionalFormatting sqref="M86:M87">
    <cfRule type="expression" dxfId="528" priority="251" stopIfTrue="1">
      <formula>IF($S86&lt;8,TRUE,)</formula>
    </cfRule>
  </conditionalFormatting>
  <conditionalFormatting sqref="L86:L87">
    <cfRule type="expression" dxfId="527" priority="250" stopIfTrue="1">
      <formula>IF($S86&lt;7,TRUE,)</formula>
    </cfRule>
  </conditionalFormatting>
  <conditionalFormatting sqref="K86:K87">
    <cfRule type="expression" dxfId="526" priority="249" stopIfTrue="1">
      <formula>IF($S86&lt;6,TRUE,)</formula>
    </cfRule>
  </conditionalFormatting>
  <conditionalFormatting sqref="J86:J87">
    <cfRule type="expression" dxfId="525" priority="248" stopIfTrue="1">
      <formula>IF($S86&lt;5,TRUE,)</formula>
    </cfRule>
  </conditionalFormatting>
  <conditionalFormatting sqref="I86:I87">
    <cfRule type="expression" dxfId="524" priority="247" stopIfTrue="1">
      <formula>IF($S86&lt;4,TRUE,)</formula>
    </cfRule>
  </conditionalFormatting>
  <conditionalFormatting sqref="H86:H87">
    <cfRule type="expression" dxfId="523" priority="246" stopIfTrue="1">
      <formula>IF($S86&lt;3,TRUE,)</formula>
    </cfRule>
  </conditionalFormatting>
  <conditionalFormatting sqref="G86:G87">
    <cfRule type="expression" dxfId="522" priority="245" stopIfTrue="1">
      <formula>IF($S86&lt;2,TRUE,)</formula>
    </cfRule>
  </conditionalFormatting>
  <conditionalFormatting sqref="F86:F87">
    <cfRule type="expression" dxfId="521" priority="244" stopIfTrue="1">
      <formula>IF($S86&lt;1,TRUE,)</formula>
    </cfRule>
  </conditionalFormatting>
  <conditionalFormatting sqref="O86:O87">
    <cfRule type="expression" dxfId="520" priority="243" stopIfTrue="1">
      <formula>IF($S86&lt;10,TRUE,)</formula>
    </cfRule>
  </conditionalFormatting>
  <conditionalFormatting sqref="F81:O82">
    <cfRule type="colorScale" priority="242">
      <colorScale>
        <cfvo type="num" val="0"/>
        <cfvo type="num" val="5"/>
        <cfvo type="num" val="10"/>
        <color rgb="FF00B050"/>
        <color rgb="FFFFFF00"/>
        <color rgb="FFFF0000"/>
      </colorScale>
    </cfRule>
  </conditionalFormatting>
  <conditionalFormatting sqref="N81:N82">
    <cfRule type="expression" dxfId="519" priority="241" stopIfTrue="1">
      <formula>IF($S81&lt;9,TRUE,)</formula>
    </cfRule>
  </conditionalFormatting>
  <conditionalFormatting sqref="M81:M82">
    <cfRule type="expression" dxfId="518" priority="240" stopIfTrue="1">
      <formula>IF($S81&lt;8,TRUE,)</formula>
    </cfRule>
  </conditionalFormatting>
  <conditionalFormatting sqref="L81:L82">
    <cfRule type="expression" dxfId="517" priority="239" stopIfTrue="1">
      <formula>IF($S81&lt;7,TRUE,)</formula>
    </cfRule>
  </conditionalFormatting>
  <conditionalFormatting sqref="K81:K82">
    <cfRule type="expression" dxfId="516" priority="238" stopIfTrue="1">
      <formula>IF($S81&lt;6,TRUE,)</formula>
    </cfRule>
  </conditionalFormatting>
  <conditionalFormatting sqref="J81:J82">
    <cfRule type="expression" dxfId="515" priority="237" stopIfTrue="1">
      <formula>IF($S81&lt;5,TRUE,)</formula>
    </cfRule>
  </conditionalFormatting>
  <conditionalFormatting sqref="I81:I82">
    <cfRule type="expression" dxfId="514" priority="236" stopIfTrue="1">
      <formula>IF($S81&lt;4,TRUE,)</formula>
    </cfRule>
  </conditionalFormatting>
  <conditionalFormatting sqref="H81:H82">
    <cfRule type="expression" dxfId="513" priority="235" stopIfTrue="1">
      <formula>IF($S81&lt;3,TRUE,)</formula>
    </cfRule>
  </conditionalFormatting>
  <conditionalFormatting sqref="G81:G82">
    <cfRule type="expression" dxfId="512" priority="234" stopIfTrue="1">
      <formula>IF($S81&lt;2,TRUE,)</formula>
    </cfRule>
  </conditionalFormatting>
  <conditionalFormatting sqref="F81:F82">
    <cfRule type="expression" dxfId="511" priority="233" stopIfTrue="1">
      <formula>IF($S81&lt;1,TRUE,)</formula>
    </cfRule>
  </conditionalFormatting>
  <conditionalFormatting sqref="O81:O82">
    <cfRule type="expression" dxfId="510" priority="232" stopIfTrue="1">
      <formula>IF($S81&lt;10,TRUE,)</formula>
    </cfRule>
  </conditionalFormatting>
  <conditionalFormatting sqref="F88:O89">
    <cfRule type="colorScale" priority="231">
      <colorScale>
        <cfvo type="num" val="0"/>
        <cfvo type="num" val="5"/>
        <cfvo type="num" val="10"/>
        <color rgb="FF00B050"/>
        <color rgb="FFFFFF00"/>
        <color rgb="FFFF0000"/>
      </colorScale>
    </cfRule>
  </conditionalFormatting>
  <conditionalFormatting sqref="N88:N89">
    <cfRule type="expression" dxfId="509" priority="230" stopIfTrue="1">
      <formula>IF($S88&lt;9,TRUE,)</formula>
    </cfRule>
  </conditionalFormatting>
  <conditionalFormatting sqref="M88:M89">
    <cfRule type="expression" dxfId="508" priority="229" stopIfTrue="1">
      <formula>IF($S88&lt;8,TRUE,)</formula>
    </cfRule>
  </conditionalFormatting>
  <conditionalFormatting sqref="L88:L89">
    <cfRule type="expression" dxfId="507" priority="228" stopIfTrue="1">
      <formula>IF($S88&lt;7,TRUE,)</formula>
    </cfRule>
  </conditionalFormatting>
  <conditionalFormatting sqref="K88:K89">
    <cfRule type="expression" dxfId="506" priority="227" stopIfTrue="1">
      <formula>IF($S88&lt;6,TRUE,)</formula>
    </cfRule>
  </conditionalFormatting>
  <conditionalFormatting sqref="J88:J89">
    <cfRule type="expression" dxfId="505" priority="226" stopIfTrue="1">
      <formula>IF($S88&lt;5,TRUE,)</formula>
    </cfRule>
  </conditionalFormatting>
  <conditionalFormatting sqref="I88:I89">
    <cfRule type="expression" dxfId="504" priority="225" stopIfTrue="1">
      <formula>IF($S88&lt;4,TRUE,)</formula>
    </cfRule>
  </conditionalFormatting>
  <conditionalFormatting sqref="H88:H89">
    <cfRule type="expression" dxfId="503" priority="224" stopIfTrue="1">
      <formula>IF($S88&lt;3,TRUE,)</formula>
    </cfRule>
  </conditionalFormatting>
  <conditionalFormatting sqref="G88:G89">
    <cfRule type="expression" dxfId="502" priority="223" stopIfTrue="1">
      <formula>IF($S88&lt;2,TRUE,)</formula>
    </cfRule>
  </conditionalFormatting>
  <conditionalFormatting sqref="F88:F89">
    <cfRule type="expression" dxfId="501" priority="222" stopIfTrue="1">
      <formula>IF($S88&lt;1,TRUE,)</formula>
    </cfRule>
  </conditionalFormatting>
  <conditionalFormatting sqref="O88:O89">
    <cfRule type="expression" dxfId="500" priority="221" stopIfTrue="1">
      <formula>IF($S88&lt;10,TRUE,)</formula>
    </cfRule>
  </conditionalFormatting>
  <conditionalFormatting sqref="F59:O74">
    <cfRule type="colorScale" priority="220">
      <colorScale>
        <cfvo type="num" val="0"/>
        <cfvo type="num" val="5"/>
        <cfvo type="num" val="10"/>
        <color rgb="FF00B050"/>
        <color rgb="FFFFFF00"/>
        <color rgb="FFFF0000"/>
      </colorScale>
    </cfRule>
  </conditionalFormatting>
  <conditionalFormatting sqref="N59:N74">
    <cfRule type="expression" dxfId="499" priority="219" stopIfTrue="1">
      <formula>IF($S59&lt;9,TRUE,)</formula>
    </cfRule>
  </conditionalFormatting>
  <conditionalFormatting sqref="M59:M74">
    <cfRule type="expression" dxfId="498" priority="218" stopIfTrue="1">
      <formula>IF($S59&lt;8,TRUE,)</formula>
    </cfRule>
  </conditionalFormatting>
  <conditionalFormatting sqref="L59:L74">
    <cfRule type="expression" dxfId="497" priority="217" stopIfTrue="1">
      <formula>IF($S59&lt;7,TRUE,)</formula>
    </cfRule>
  </conditionalFormatting>
  <conditionalFormatting sqref="K59:K74">
    <cfRule type="expression" dxfId="496" priority="216" stopIfTrue="1">
      <formula>IF($S59&lt;6,TRUE,)</formula>
    </cfRule>
  </conditionalFormatting>
  <conditionalFormatting sqref="J59:J74">
    <cfRule type="expression" dxfId="495" priority="215" stopIfTrue="1">
      <formula>IF($S59&lt;5,TRUE,)</formula>
    </cfRule>
  </conditionalFormatting>
  <conditionalFormatting sqref="I59:I74">
    <cfRule type="expression" dxfId="494" priority="214" stopIfTrue="1">
      <formula>IF($S59&lt;4,TRUE,)</formula>
    </cfRule>
  </conditionalFormatting>
  <conditionalFormatting sqref="H59:H74">
    <cfRule type="expression" dxfId="493" priority="213" stopIfTrue="1">
      <formula>IF($S59&lt;3,TRUE,)</formula>
    </cfRule>
  </conditionalFormatting>
  <conditionalFormatting sqref="G59:G74">
    <cfRule type="expression" dxfId="492" priority="212" stopIfTrue="1">
      <formula>IF($S59&lt;2,TRUE,)</formula>
    </cfRule>
  </conditionalFormatting>
  <conditionalFormatting sqref="F59:F74">
    <cfRule type="expression" dxfId="491" priority="211" stopIfTrue="1">
      <formula>IF($S59&lt;1,TRUE,)</formula>
    </cfRule>
  </conditionalFormatting>
  <conditionalFormatting sqref="O59:O74">
    <cfRule type="expression" dxfId="490" priority="210" stopIfTrue="1">
      <formula>IF($S59&lt;10,TRUE,)</formula>
    </cfRule>
  </conditionalFormatting>
  <conditionalFormatting sqref="F59:O59">
    <cfRule type="colorScale" priority="209">
      <colorScale>
        <cfvo type="num" val="0"/>
        <cfvo type="num" val="5"/>
        <cfvo type="num" val="10"/>
        <color rgb="FF00B050"/>
        <color rgb="FFFFFF00"/>
        <color rgb="FFFF0000"/>
      </colorScale>
    </cfRule>
  </conditionalFormatting>
  <conditionalFormatting sqref="N59">
    <cfRule type="expression" dxfId="489" priority="208" stopIfTrue="1">
      <formula>IF($S59&lt;9,TRUE,)</formula>
    </cfRule>
  </conditionalFormatting>
  <conditionalFormatting sqref="M59">
    <cfRule type="expression" dxfId="488" priority="207" stopIfTrue="1">
      <formula>IF($S59&lt;8,TRUE,)</formula>
    </cfRule>
  </conditionalFormatting>
  <conditionalFormatting sqref="L59">
    <cfRule type="expression" dxfId="487" priority="206" stopIfTrue="1">
      <formula>IF($S59&lt;7,TRUE,)</formula>
    </cfRule>
  </conditionalFormatting>
  <conditionalFormatting sqref="K59">
    <cfRule type="expression" dxfId="486" priority="205" stopIfTrue="1">
      <formula>IF($S59&lt;6,TRUE,)</formula>
    </cfRule>
  </conditionalFormatting>
  <conditionalFormatting sqref="J59">
    <cfRule type="expression" dxfId="485" priority="204" stopIfTrue="1">
      <formula>IF($S59&lt;5,TRUE,)</formula>
    </cfRule>
  </conditionalFormatting>
  <conditionalFormatting sqref="I59">
    <cfRule type="expression" dxfId="484" priority="203" stopIfTrue="1">
      <formula>IF($S59&lt;4,TRUE,)</formula>
    </cfRule>
  </conditionalFormatting>
  <conditionalFormatting sqref="H59">
    <cfRule type="expression" dxfId="483" priority="202" stopIfTrue="1">
      <formula>IF($S59&lt;3,TRUE,)</formula>
    </cfRule>
  </conditionalFormatting>
  <conditionalFormatting sqref="G59">
    <cfRule type="expression" dxfId="482" priority="201" stopIfTrue="1">
      <formula>IF($S59&lt;2,TRUE,)</formula>
    </cfRule>
  </conditionalFormatting>
  <conditionalFormatting sqref="F59">
    <cfRule type="expression" dxfId="481" priority="200" stopIfTrue="1">
      <formula>IF($S59&lt;1,TRUE,)</formula>
    </cfRule>
  </conditionalFormatting>
  <conditionalFormatting sqref="O59">
    <cfRule type="expression" dxfId="480" priority="199" stopIfTrue="1">
      <formula>IF($S59&lt;10,TRUE,)</formula>
    </cfRule>
  </conditionalFormatting>
  <conditionalFormatting sqref="F74:O74">
    <cfRule type="colorScale" priority="198">
      <colorScale>
        <cfvo type="num" val="0"/>
        <cfvo type="num" val="5"/>
        <cfvo type="num" val="10"/>
        <color rgb="FF00B050"/>
        <color rgb="FFFFFF00"/>
        <color rgb="FFFF0000"/>
      </colorScale>
    </cfRule>
  </conditionalFormatting>
  <conditionalFormatting sqref="N74">
    <cfRule type="expression" dxfId="479" priority="197" stopIfTrue="1">
      <formula>IF($S74&lt;9,TRUE,)</formula>
    </cfRule>
  </conditionalFormatting>
  <conditionalFormatting sqref="M74">
    <cfRule type="expression" dxfId="478" priority="196" stopIfTrue="1">
      <formula>IF($S74&lt;8,TRUE,)</formula>
    </cfRule>
  </conditionalFormatting>
  <conditionalFormatting sqref="L74">
    <cfRule type="expression" dxfId="477" priority="195" stopIfTrue="1">
      <formula>IF($S74&lt;7,TRUE,)</formula>
    </cfRule>
  </conditionalFormatting>
  <conditionalFormatting sqref="K74">
    <cfRule type="expression" dxfId="476" priority="194" stopIfTrue="1">
      <formula>IF($S74&lt;6,TRUE,)</formula>
    </cfRule>
  </conditionalFormatting>
  <conditionalFormatting sqref="J74">
    <cfRule type="expression" dxfId="475" priority="193" stopIfTrue="1">
      <formula>IF($S74&lt;5,TRUE,)</formula>
    </cfRule>
  </conditionalFormatting>
  <conditionalFormatting sqref="I74">
    <cfRule type="expression" dxfId="474" priority="192" stopIfTrue="1">
      <formula>IF($S74&lt;4,TRUE,)</formula>
    </cfRule>
  </conditionalFormatting>
  <conditionalFormatting sqref="H74">
    <cfRule type="expression" dxfId="473" priority="191" stopIfTrue="1">
      <formula>IF($S74&lt;3,TRUE,)</formula>
    </cfRule>
  </conditionalFormatting>
  <conditionalFormatting sqref="G74">
    <cfRule type="expression" dxfId="472" priority="190" stopIfTrue="1">
      <formula>IF($S74&lt;2,TRUE,)</formula>
    </cfRule>
  </conditionalFormatting>
  <conditionalFormatting sqref="F74">
    <cfRule type="expression" dxfId="471" priority="189" stopIfTrue="1">
      <formula>IF($S74&lt;1,TRUE,)</formula>
    </cfRule>
  </conditionalFormatting>
  <conditionalFormatting sqref="O74">
    <cfRule type="expression" dxfId="470" priority="188" stopIfTrue="1">
      <formula>IF($S74&lt;10,TRUE,)</formula>
    </cfRule>
  </conditionalFormatting>
  <conditionalFormatting sqref="F63:O64">
    <cfRule type="colorScale" priority="187">
      <colorScale>
        <cfvo type="num" val="0"/>
        <cfvo type="num" val="5"/>
        <cfvo type="num" val="10"/>
        <color rgb="FF00B050"/>
        <color rgb="FFFFFF00"/>
        <color rgb="FFFF0000"/>
      </colorScale>
    </cfRule>
  </conditionalFormatting>
  <conditionalFormatting sqref="N63:N64">
    <cfRule type="expression" dxfId="469" priority="186" stopIfTrue="1">
      <formula>IF($S63&lt;9,TRUE,)</formula>
    </cfRule>
  </conditionalFormatting>
  <conditionalFormatting sqref="M63:M64">
    <cfRule type="expression" dxfId="468" priority="185" stopIfTrue="1">
      <formula>IF($S63&lt;8,TRUE,)</formula>
    </cfRule>
  </conditionalFormatting>
  <conditionalFormatting sqref="L63:L64">
    <cfRule type="expression" dxfId="467" priority="184" stopIfTrue="1">
      <formula>IF($S63&lt;7,TRUE,)</formula>
    </cfRule>
  </conditionalFormatting>
  <conditionalFormatting sqref="K63:K64">
    <cfRule type="expression" dxfId="466" priority="183" stopIfTrue="1">
      <formula>IF($S63&lt;6,TRUE,)</formula>
    </cfRule>
  </conditionalFormatting>
  <conditionalFormatting sqref="J63:J64">
    <cfRule type="expression" dxfId="465" priority="182" stopIfTrue="1">
      <formula>IF($S63&lt;5,TRUE,)</formula>
    </cfRule>
  </conditionalFormatting>
  <conditionalFormatting sqref="I63:I64">
    <cfRule type="expression" dxfId="464" priority="181" stopIfTrue="1">
      <formula>IF($S63&lt;4,TRUE,)</formula>
    </cfRule>
  </conditionalFormatting>
  <conditionalFormatting sqref="H63:H64">
    <cfRule type="expression" dxfId="463" priority="180" stopIfTrue="1">
      <formula>IF($S63&lt;3,TRUE,)</formula>
    </cfRule>
  </conditionalFormatting>
  <conditionalFormatting sqref="G63:G64">
    <cfRule type="expression" dxfId="462" priority="179" stopIfTrue="1">
      <formula>IF($S63&lt;2,TRUE,)</formula>
    </cfRule>
  </conditionalFormatting>
  <conditionalFormatting sqref="F63:F64">
    <cfRule type="expression" dxfId="461" priority="178" stopIfTrue="1">
      <formula>IF($S63&lt;1,TRUE,)</formula>
    </cfRule>
  </conditionalFormatting>
  <conditionalFormatting sqref="O63:O64">
    <cfRule type="expression" dxfId="460" priority="177" stopIfTrue="1">
      <formula>IF($S63&lt;10,TRUE,)</formula>
    </cfRule>
  </conditionalFormatting>
  <conditionalFormatting sqref="F70:O71">
    <cfRule type="colorScale" priority="176">
      <colorScale>
        <cfvo type="num" val="0"/>
        <cfvo type="num" val="5"/>
        <cfvo type="num" val="10"/>
        <color rgb="FF00B050"/>
        <color rgb="FFFFFF00"/>
        <color rgb="FFFF0000"/>
      </colorScale>
    </cfRule>
  </conditionalFormatting>
  <conditionalFormatting sqref="N70:N71">
    <cfRule type="expression" dxfId="459" priority="175" stopIfTrue="1">
      <formula>IF($S70&lt;9,TRUE,)</formula>
    </cfRule>
  </conditionalFormatting>
  <conditionalFormatting sqref="M70:M71">
    <cfRule type="expression" dxfId="458" priority="174" stopIfTrue="1">
      <formula>IF($S70&lt;8,TRUE,)</formula>
    </cfRule>
  </conditionalFormatting>
  <conditionalFormatting sqref="L70:L71">
    <cfRule type="expression" dxfId="457" priority="173" stopIfTrue="1">
      <formula>IF($S70&lt;7,TRUE,)</formula>
    </cfRule>
  </conditionalFormatting>
  <conditionalFormatting sqref="K70:K71">
    <cfRule type="expression" dxfId="456" priority="172" stopIfTrue="1">
      <formula>IF($S70&lt;6,TRUE,)</formula>
    </cfRule>
  </conditionalFormatting>
  <conditionalFormatting sqref="J70:J71">
    <cfRule type="expression" dxfId="455" priority="171" stopIfTrue="1">
      <formula>IF($S70&lt;5,TRUE,)</formula>
    </cfRule>
  </conditionalFormatting>
  <conditionalFormatting sqref="I70:I71">
    <cfRule type="expression" dxfId="454" priority="170" stopIfTrue="1">
      <formula>IF($S70&lt;4,TRUE,)</formula>
    </cfRule>
  </conditionalFormatting>
  <conditionalFormatting sqref="H70:H71">
    <cfRule type="expression" dxfId="453" priority="169" stopIfTrue="1">
      <formula>IF($S70&lt;3,TRUE,)</formula>
    </cfRule>
  </conditionalFormatting>
  <conditionalFormatting sqref="G70:G71">
    <cfRule type="expression" dxfId="452" priority="168" stopIfTrue="1">
      <formula>IF($S70&lt;2,TRUE,)</formula>
    </cfRule>
  </conditionalFormatting>
  <conditionalFormatting sqref="F70:F71">
    <cfRule type="expression" dxfId="451" priority="167" stopIfTrue="1">
      <formula>IF($S70&lt;1,TRUE,)</formula>
    </cfRule>
  </conditionalFormatting>
  <conditionalFormatting sqref="O70:O71">
    <cfRule type="expression" dxfId="450" priority="166" stopIfTrue="1">
      <formula>IF($S70&lt;10,TRUE,)</formula>
    </cfRule>
  </conditionalFormatting>
  <conditionalFormatting sqref="F65:O66">
    <cfRule type="colorScale" priority="165">
      <colorScale>
        <cfvo type="num" val="0"/>
        <cfvo type="num" val="5"/>
        <cfvo type="num" val="10"/>
        <color rgb="FF00B050"/>
        <color rgb="FFFFFF00"/>
        <color rgb="FFFF0000"/>
      </colorScale>
    </cfRule>
  </conditionalFormatting>
  <conditionalFormatting sqref="N65:N66">
    <cfRule type="expression" dxfId="449" priority="164" stopIfTrue="1">
      <formula>IF($S65&lt;9,TRUE,)</formula>
    </cfRule>
  </conditionalFormatting>
  <conditionalFormatting sqref="M65:M66">
    <cfRule type="expression" dxfId="448" priority="163" stopIfTrue="1">
      <formula>IF($S65&lt;8,TRUE,)</formula>
    </cfRule>
  </conditionalFormatting>
  <conditionalFormatting sqref="L65:L66">
    <cfRule type="expression" dxfId="447" priority="162" stopIfTrue="1">
      <formula>IF($S65&lt;7,TRUE,)</formula>
    </cfRule>
  </conditionalFormatting>
  <conditionalFormatting sqref="K65:K66">
    <cfRule type="expression" dxfId="446" priority="161" stopIfTrue="1">
      <formula>IF($S65&lt;6,TRUE,)</formula>
    </cfRule>
  </conditionalFormatting>
  <conditionalFormatting sqref="J65:J66">
    <cfRule type="expression" dxfId="445" priority="160" stopIfTrue="1">
      <formula>IF($S65&lt;5,TRUE,)</formula>
    </cfRule>
  </conditionalFormatting>
  <conditionalFormatting sqref="I65:I66">
    <cfRule type="expression" dxfId="444" priority="159" stopIfTrue="1">
      <formula>IF($S65&lt;4,TRUE,)</formula>
    </cfRule>
  </conditionalFormatting>
  <conditionalFormatting sqref="H65:H66">
    <cfRule type="expression" dxfId="443" priority="158" stopIfTrue="1">
      <formula>IF($S65&lt;3,TRUE,)</formula>
    </cfRule>
  </conditionalFormatting>
  <conditionalFormatting sqref="G65:G66">
    <cfRule type="expression" dxfId="442" priority="157" stopIfTrue="1">
      <formula>IF($S65&lt;2,TRUE,)</formula>
    </cfRule>
  </conditionalFormatting>
  <conditionalFormatting sqref="F65:F66">
    <cfRule type="expression" dxfId="441" priority="156" stopIfTrue="1">
      <formula>IF($S65&lt;1,TRUE,)</formula>
    </cfRule>
  </conditionalFormatting>
  <conditionalFormatting sqref="O65:O66">
    <cfRule type="expression" dxfId="440" priority="155" stopIfTrue="1">
      <formula>IF($S65&lt;10,TRUE,)</formula>
    </cfRule>
  </conditionalFormatting>
  <conditionalFormatting sqref="F72:O73">
    <cfRule type="colorScale" priority="154">
      <colorScale>
        <cfvo type="num" val="0"/>
        <cfvo type="num" val="5"/>
        <cfvo type="num" val="10"/>
        <color rgb="FF00B050"/>
        <color rgb="FFFFFF00"/>
        <color rgb="FFFF0000"/>
      </colorScale>
    </cfRule>
  </conditionalFormatting>
  <conditionalFormatting sqref="N72:N73">
    <cfRule type="expression" dxfId="439" priority="153" stopIfTrue="1">
      <formula>IF($S72&lt;9,TRUE,)</formula>
    </cfRule>
  </conditionalFormatting>
  <conditionalFormatting sqref="M72:M73">
    <cfRule type="expression" dxfId="438" priority="152" stopIfTrue="1">
      <formula>IF($S72&lt;8,TRUE,)</formula>
    </cfRule>
  </conditionalFormatting>
  <conditionalFormatting sqref="L72:L73">
    <cfRule type="expression" dxfId="437" priority="151" stopIfTrue="1">
      <formula>IF($S72&lt;7,TRUE,)</formula>
    </cfRule>
  </conditionalFormatting>
  <conditionalFormatting sqref="K72:K73">
    <cfRule type="expression" dxfId="436" priority="150" stopIfTrue="1">
      <formula>IF($S72&lt;6,TRUE,)</formula>
    </cfRule>
  </conditionalFormatting>
  <conditionalFormatting sqref="J72:J73">
    <cfRule type="expression" dxfId="435" priority="149" stopIfTrue="1">
      <formula>IF($S72&lt;5,TRUE,)</formula>
    </cfRule>
  </conditionalFormatting>
  <conditionalFormatting sqref="I72:I73">
    <cfRule type="expression" dxfId="434" priority="148" stopIfTrue="1">
      <formula>IF($S72&lt;4,TRUE,)</formula>
    </cfRule>
  </conditionalFormatting>
  <conditionalFormatting sqref="H72:H73">
    <cfRule type="expression" dxfId="433" priority="147" stopIfTrue="1">
      <formula>IF($S72&lt;3,TRUE,)</formula>
    </cfRule>
  </conditionalFormatting>
  <conditionalFormatting sqref="G72:G73">
    <cfRule type="expression" dxfId="432" priority="146" stopIfTrue="1">
      <formula>IF($S72&lt;2,TRUE,)</formula>
    </cfRule>
  </conditionalFormatting>
  <conditionalFormatting sqref="F72:F73">
    <cfRule type="expression" dxfId="431" priority="145" stopIfTrue="1">
      <formula>IF($S72&lt;1,TRUE,)</formula>
    </cfRule>
  </conditionalFormatting>
  <conditionalFormatting sqref="O72:O73">
    <cfRule type="expression" dxfId="430" priority="144" stopIfTrue="1">
      <formula>IF($S72&lt;10,TRUE,)</formula>
    </cfRule>
  </conditionalFormatting>
  <conditionalFormatting sqref="F27:O27">
    <cfRule type="colorScale" priority="143">
      <colorScale>
        <cfvo type="num" val="0"/>
        <cfvo type="num" val="5"/>
        <cfvo type="num" val="10"/>
        <color rgb="FF00B050"/>
        <color rgb="FFFFFF00"/>
        <color rgb="FFFF0000"/>
      </colorScale>
    </cfRule>
  </conditionalFormatting>
  <conditionalFormatting sqref="N27">
    <cfRule type="expression" dxfId="429" priority="142" stopIfTrue="1">
      <formula>IF($S27&lt;9,TRUE,)</formula>
    </cfRule>
  </conditionalFormatting>
  <conditionalFormatting sqref="M27">
    <cfRule type="expression" dxfId="428" priority="141" stopIfTrue="1">
      <formula>IF($S27&lt;8,TRUE,)</formula>
    </cfRule>
  </conditionalFormatting>
  <conditionalFormatting sqref="L27">
    <cfRule type="expression" dxfId="427" priority="140" stopIfTrue="1">
      <formula>IF($S27&lt;7,TRUE,)</formula>
    </cfRule>
  </conditionalFormatting>
  <conditionalFormatting sqref="K27">
    <cfRule type="expression" dxfId="426" priority="139" stopIfTrue="1">
      <formula>IF($S27&lt;6,TRUE,)</formula>
    </cfRule>
  </conditionalFormatting>
  <conditionalFormatting sqref="J27">
    <cfRule type="expression" dxfId="425" priority="138" stopIfTrue="1">
      <formula>IF($S27&lt;5,TRUE,)</formula>
    </cfRule>
  </conditionalFormatting>
  <conditionalFormatting sqref="I27">
    <cfRule type="expression" dxfId="424" priority="137" stopIfTrue="1">
      <formula>IF($S27&lt;4,TRUE,)</formula>
    </cfRule>
  </conditionalFormatting>
  <conditionalFormatting sqref="H27">
    <cfRule type="expression" dxfId="423" priority="136" stopIfTrue="1">
      <formula>IF($S27&lt;3,TRUE,)</formula>
    </cfRule>
  </conditionalFormatting>
  <conditionalFormatting sqref="G27">
    <cfRule type="expression" dxfId="422" priority="135" stopIfTrue="1">
      <formula>IF($S27&lt;2,TRUE,)</formula>
    </cfRule>
  </conditionalFormatting>
  <conditionalFormatting sqref="F27">
    <cfRule type="expression" dxfId="421" priority="134" stopIfTrue="1">
      <formula>IF($S27&lt;1,TRUE,)</formula>
    </cfRule>
  </conditionalFormatting>
  <conditionalFormatting sqref="O27">
    <cfRule type="expression" dxfId="420" priority="133" stopIfTrue="1">
      <formula>IF($S27&lt;10,TRUE,)</formula>
    </cfRule>
  </conditionalFormatting>
  <conditionalFormatting sqref="F42:O42">
    <cfRule type="colorScale" priority="132">
      <colorScale>
        <cfvo type="num" val="0"/>
        <cfvo type="num" val="5"/>
        <cfvo type="num" val="10"/>
        <color rgb="FF00B050"/>
        <color rgb="FFFFFF00"/>
        <color rgb="FFFF0000"/>
      </colorScale>
    </cfRule>
  </conditionalFormatting>
  <conditionalFormatting sqref="N42">
    <cfRule type="expression" dxfId="419" priority="131" stopIfTrue="1">
      <formula>IF($S42&lt;9,TRUE,)</formula>
    </cfRule>
  </conditionalFormatting>
  <conditionalFormatting sqref="M42">
    <cfRule type="expression" dxfId="418" priority="130" stopIfTrue="1">
      <formula>IF($S42&lt;8,TRUE,)</formula>
    </cfRule>
  </conditionalFormatting>
  <conditionalFormatting sqref="L42">
    <cfRule type="expression" dxfId="417" priority="129" stopIfTrue="1">
      <formula>IF($S42&lt;7,TRUE,)</formula>
    </cfRule>
  </conditionalFormatting>
  <conditionalFormatting sqref="K42">
    <cfRule type="expression" dxfId="416" priority="128" stopIfTrue="1">
      <formula>IF($S42&lt;6,TRUE,)</formula>
    </cfRule>
  </conditionalFormatting>
  <conditionalFormatting sqref="J42">
    <cfRule type="expression" dxfId="415" priority="127" stopIfTrue="1">
      <formula>IF($S42&lt;5,TRUE,)</formula>
    </cfRule>
  </conditionalFormatting>
  <conditionalFormatting sqref="I42">
    <cfRule type="expression" dxfId="414" priority="126" stopIfTrue="1">
      <formula>IF($S42&lt;4,TRUE,)</formula>
    </cfRule>
  </conditionalFormatting>
  <conditionalFormatting sqref="H42">
    <cfRule type="expression" dxfId="413" priority="125" stopIfTrue="1">
      <formula>IF($S42&lt;3,TRUE,)</formula>
    </cfRule>
  </conditionalFormatting>
  <conditionalFormatting sqref="G42">
    <cfRule type="expression" dxfId="412" priority="124" stopIfTrue="1">
      <formula>IF($S42&lt;2,TRUE,)</formula>
    </cfRule>
  </conditionalFormatting>
  <conditionalFormatting sqref="F42">
    <cfRule type="expression" dxfId="411" priority="123" stopIfTrue="1">
      <formula>IF($S42&lt;1,TRUE,)</formula>
    </cfRule>
  </conditionalFormatting>
  <conditionalFormatting sqref="O42">
    <cfRule type="expression" dxfId="410" priority="122" stopIfTrue="1">
      <formula>IF($S42&lt;10,TRUE,)</formula>
    </cfRule>
  </conditionalFormatting>
  <conditionalFormatting sqref="F31:O32">
    <cfRule type="colorScale" priority="121">
      <colorScale>
        <cfvo type="num" val="0"/>
        <cfvo type="num" val="5"/>
        <cfvo type="num" val="10"/>
        <color rgb="FF00B050"/>
        <color rgb="FFFFFF00"/>
        <color rgb="FFFF0000"/>
      </colorScale>
    </cfRule>
  </conditionalFormatting>
  <conditionalFormatting sqref="N31:N32">
    <cfRule type="expression" dxfId="409" priority="120" stopIfTrue="1">
      <formula>IF($S31&lt;9,TRUE,)</formula>
    </cfRule>
  </conditionalFormatting>
  <conditionalFormatting sqref="M31:M32">
    <cfRule type="expression" dxfId="408" priority="119" stopIfTrue="1">
      <formula>IF($S31&lt;8,TRUE,)</formula>
    </cfRule>
  </conditionalFormatting>
  <conditionalFormatting sqref="L31:L32">
    <cfRule type="expression" dxfId="407" priority="118" stopIfTrue="1">
      <formula>IF($S31&lt;7,TRUE,)</formula>
    </cfRule>
  </conditionalFormatting>
  <conditionalFormatting sqref="K31:K32">
    <cfRule type="expression" dxfId="406" priority="117" stopIfTrue="1">
      <formula>IF($S31&lt;6,TRUE,)</formula>
    </cfRule>
  </conditionalFormatting>
  <conditionalFormatting sqref="J31:J32">
    <cfRule type="expression" dxfId="405" priority="116" stopIfTrue="1">
      <formula>IF($S31&lt;5,TRUE,)</formula>
    </cfRule>
  </conditionalFormatting>
  <conditionalFormatting sqref="I31:I32">
    <cfRule type="expression" dxfId="404" priority="115" stopIfTrue="1">
      <formula>IF($S31&lt;4,TRUE,)</formula>
    </cfRule>
  </conditionalFormatting>
  <conditionalFormatting sqref="H31:H32">
    <cfRule type="expression" dxfId="403" priority="114" stopIfTrue="1">
      <formula>IF($S31&lt;3,TRUE,)</formula>
    </cfRule>
  </conditionalFormatting>
  <conditionalFormatting sqref="G31:G32">
    <cfRule type="expression" dxfId="402" priority="113" stopIfTrue="1">
      <formula>IF($S31&lt;2,TRUE,)</formula>
    </cfRule>
  </conditionalFormatting>
  <conditionalFormatting sqref="F31:F32">
    <cfRule type="expression" dxfId="401" priority="112" stopIfTrue="1">
      <formula>IF($S31&lt;1,TRUE,)</formula>
    </cfRule>
  </conditionalFormatting>
  <conditionalFormatting sqref="O31:O32">
    <cfRule type="expression" dxfId="400" priority="111" stopIfTrue="1">
      <formula>IF($S31&lt;10,TRUE,)</formula>
    </cfRule>
  </conditionalFormatting>
  <conditionalFormatting sqref="F38:O39">
    <cfRule type="colorScale" priority="110">
      <colorScale>
        <cfvo type="num" val="0"/>
        <cfvo type="num" val="5"/>
        <cfvo type="num" val="10"/>
        <color rgb="FF00B050"/>
        <color rgb="FFFFFF00"/>
        <color rgb="FFFF0000"/>
      </colorScale>
    </cfRule>
  </conditionalFormatting>
  <conditionalFormatting sqref="N38:N39">
    <cfRule type="expression" dxfId="399" priority="109" stopIfTrue="1">
      <formula>IF($S38&lt;9,TRUE,)</formula>
    </cfRule>
  </conditionalFormatting>
  <conditionalFormatting sqref="M38:M39">
    <cfRule type="expression" dxfId="398" priority="108" stopIfTrue="1">
      <formula>IF($S38&lt;8,TRUE,)</formula>
    </cfRule>
  </conditionalFormatting>
  <conditionalFormatting sqref="L38:L39">
    <cfRule type="expression" dxfId="397" priority="107" stopIfTrue="1">
      <formula>IF($S38&lt;7,TRUE,)</formula>
    </cfRule>
  </conditionalFormatting>
  <conditionalFormatting sqref="K38:K39">
    <cfRule type="expression" dxfId="396" priority="106" stopIfTrue="1">
      <formula>IF($S38&lt;6,TRUE,)</formula>
    </cfRule>
  </conditionalFormatting>
  <conditionalFormatting sqref="J38:J39">
    <cfRule type="expression" dxfId="395" priority="105" stopIfTrue="1">
      <formula>IF($S38&lt;5,TRUE,)</formula>
    </cfRule>
  </conditionalFormatting>
  <conditionalFormatting sqref="I38:I39">
    <cfRule type="expression" dxfId="394" priority="104" stopIfTrue="1">
      <formula>IF($S38&lt;4,TRUE,)</formula>
    </cfRule>
  </conditionalFormatting>
  <conditionalFormatting sqref="H38:H39">
    <cfRule type="expression" dxfId="393" priority="103" stopIfTrue="1">
      <formula>IF($S38&lt;3,TRUE,)</formula>
    </cfRule>
  </conditionalFormatting>
  <conditionalFormatting sqref="G38:G39">
    <cfRule type="expression" dxfId="392" priority="102" stopIfTrue="1">
      <formula>IF($S38&lt;2,TRUE,)</formula>
    </cfRule>
  </conditionalFormatting>
  <conditionalFormatting sqref="F38:F39">
    <cfRule type="expression" dxfId="391" priority="101" stopIfTrue="1">
      <formula>IF($S38&lt;1,TRUE,)</formula>
    </cfRule>
  </conditionalFormatting>
  <conditionalFormatting sqref="O38:O39">
    <cfRule type="expression" dxfId="390" priority="100" stopIfTrue="1">
      <formula>IF($S38&lt;10,TRUE,)</formula>
    </cfRule>
  </conditionalFormatting>
  <conditionalFormatting sqref="F33:O34">
    <cfRule type="colorScale" priority="99">
      <colorScale>
        <cfvo type="num" val="0"/>
        <cfvo type="num" val="5"/>
        <cfvo type="num" val="10"/>
        <color rgb="FF00B050"/>
        <color rgb="FFFFFF00"/>
        <color rgb="FFFF0000"/>
      </colorScale>
    </cfRule>
  </conditionalFormatting>
  <conditionalFormatting sqref="N33:N34">
    <cfRule type="expression" dxfId="389" priority="98" stopIfTrue="1">
      <formula>IF($S33&lt;9,TRUE,)</formula>
    </cfRule>
  </conditionalFormatting>
  <conditionalFormatting sqref="M33:M34">
    <cfRule type="expression" dxfId="388" priority="97" stopIfTrue="1">
      <formula>IF($S33&lt;8,TRUE,)</formula>
    </cfRule>
  </conditionalFormatting>
  <conditionalFormatting sqref="L33:L34">
    <cfRule type="expression" dxfId="387" priority="96" stopIfTrue="1">
      <formula>IF($S33&lt;7,TRUE,)</formula>
    </cfRule>
  </conditionalFormatting>
  <conditionalFormatting sqref="K33:K34">
    <cfRule type="expression" dxfId="386" priority="95" stopIfTrue="1">
      <formula>IF($S33&lt;6,TRUE,)</formula>
    </cfRule>
  </conditionalFormatting>
  <conditionalFormatting sqref="J33:J34">
    <cfRule type="expression" dxfId="385" priority="94" stopIfTrue="1">
      <formula>IF($S33&lt;5,TRUE,)</formula>
    </cfRule>
  </conditionalFormatting>
  <conditionalFormatting sqref="I33:I34">
    <cfRule type="expression" dxfId="384" priority="93" stopIfTrue="1">
      <formula>IF($S33&lt;4,TRUE,)</formula>
    </cfRule>
  </conditionalFormatting>
  <conditionalFormatting sqref="H33:H34">
    <cfRule type="expression" dxfId="383" priority="92" stopIfTrue="1">
      <formula>IF($S33&lt;3,TRUE,)</formula>
    </cfRule>
  </conditionalFormatting>
  <conditionalFormatting sqref="G33:G34">
    <cfRule type="expression" dxfId="382" priority="91" stopIfTrue="1">
      <formula>IF($S33&lt;2,TRUE,)</formula>
    </cfRule>
  </conditionalFormatting>
  <conditionalFormatting sqref="F33:F34">
    <cfRule type="expression" dxfId="381" priority="90" stopIfTrue="1">
      <formula>IF($S33&lt;1,TRUE,)</formula>
    </cfRule>
  </conditionalFormatting>
  <conditionalFormatting sqref="O33:O34">
    <cfRule type="expression" dxfId="380" priority="89" stopIfTrue="1">
      <formula>IF($S33&lt;10,TRUE,)</formula>
    </cfRule>
  </conditionalFormatting>
  <conditionalFormatting sqref="F40:O41">
    <cfRule type="colorScale" priority="88">
      <colorScale>
        <cfvo type="num" val="0"/>
        <cfvo type="num" val="5"/>
        <cfvo type="num" val="10"/>
        <color rgb="FF00B050"/>
        <color rgb="FFFFFF00"/>
        <color rgb="FFFF0000"/>
      </colorScale>
    </cfRule>
  </conditionalFormatting>
  <conditionalFormatting sqref="N40:N41">
    <cfRule type="expression" dxfId="379" priority="87" stopIfTrue="1">
      <formula>IF($S40&lt;9,TRUE,)</formula>
    </cfRule>
  </conditionalFormatting>
  <conditionalFormatting sqref="M40:M41">
    <cfRule type="expression" dxfId="378" priority="86" stopIfTrue="1">
      <formula>IF($S40&lt;8,TRUE,)</formula>
    </cfRule>
  </conditionalFormatting>
  <conditionalFormatting sqref="L40:L41">
    <cfRule type="expression" dxfId="377" priority="85" stopIfTrue="1">
      <formula>IF($S40&lt;7,TRUE,)</formula>
    </cfRule>
  </conditionalFormatting>
  <conditionalFormatting sqref="K40:K41">
    <cfRule type="expression" dxfId="376" priority="84" stopIfTrue="1">
      <formula>IF($S40&lt;6,TRUE,)</formula>
    </cfRule>
  </conditionalFormatting>
  <conditionalFormatting sqref="J40:J41">
    <cfRule type="expression" dxfId="375" priority="83" stopIfTrue="1">
      <formula>IF($S40&lt;5,TRUE,)</formula>
    </cfRule>
  </conditionalFormatting>
  <conditionalFormatting sqref="I40:I41">
    <cfRule type="expression" dxfId="374" priority="82" stopIfTrue="1">
      <formula>IF($S40&lt;4,TRUE,)</formula>
    </cfRule>
  </conditionalFormatting>
  <conditionalFormatting sqref="H40:H41">
    <cfRule type="expression" dxfId="373" priority="81" stopIfTrue="1">
      <formula>IF($S40&lt;3,TRUE,)</formula>
    </cfRule>
  </conditionalFormatting>
  <conditionalFormatting sqref="G40:G41">
    <cfRule type="expression" dxfId="372" priority="80" stopIfTrue="1">
      <formula>IF($S40&lt;2,TRUE,)</formula>
    </cfRule>
  </conditionalFormatting>
  <conditionalFormatting sqref="F40:F41">
    <cfRule type="expression" dxfId="371" priority="79" stopIfTrue="1">
      <formula>IF($S40&lt;1,TRUE,)</formula>
    </cfRule>
  </conditionalFormatting>
  <conditionalFormatting sqref="O40:O41">
    <cfRule type="expression" dxfId="370" priority="78" stopIfTrue="1">
      <formula>IF($S40&lt;10,TRUE,)</formula>
    </cfRule>
  </conditionalFormatting>
  <conditionalFormatting sqref="F27:O42">
    <cfRule type="colorScale" priority="77">
      <colorScale>
        <cfvo type="num" val="0"/>
        <cfvo type="num" val="5"/>
        <cfvo type="num" val="10"/>
        <color rgb="FF00B050"/>
        <color rgb="FFFFFF00"/>
        <color rgb="FFFF0000"/>
      </colorScale>
    </cfRule>
  </conditionalFormatting>
  <conditionalFormatting sqref="N27:N42">
    <cfRule type="expression" dxfId="369" priority="76" stopIfTrue="1">
      <formula>IF($S27&lt;9,TRUE,)</formula>
    </cfRule>
  </conditionalFormatting>
  <conditionalFormatting sqref="M27:M42">
    <cfRule type="expression" dxfId="368" priority="75" stopIfTrue="1">
      <formula>IF($S27&lt;8,TRUE,)</formula>
    </cfRule>
  </conditionalFormatting>
  <conditionalFormatting sqref="L27:L42">
    <cfRule type="expression" dxfId="367" priority="74" stopIfTrue="1">
      <formula>IF($S27&lt;7,TRUE,)</formula>
    </cfRule>
  </conditionalFormatting>
  <conditionalFormatting sqref="K27:K42">
    <cfRule type="expression" dxfId="366" priority="73" stopIfTrue="1">
      <formula>IF($S27&lt;6,TRUE,)</formula>
    </cfRule>
  </conditionalFormatting>
  <conditionalFormatting sqref="J27:J42">
    <cfRule type="expression" dxfId="365" priority="72" stopIfTrue="1">
      <formula>IF($S27&lt;5,TRUE,)</formula>
    </cfRule>
  </conditionalFormatting>
  <conditionalFormatting sqref="I27:I42">
    <cfRule type="expression" dxfId="364" priority="71" stopIfTrue="1">
      <formula>IF($S27&lt;4,TRUE,)</formula>
    </cfRule>
  </conditionalFormatting>
  <conditionalFormatting sqref="H27:H42">
    <cfRule type="expression" dxfId="363" priority="70" stopIfTrue="1">
      <formula>IF($S27&lt;3,TRUE,)</formula>
    </cfRule>
  </conditionalFormatting>
  <conditionalFormatting sqref="G27:G42">
    <cfRule type="expression" dxfId="362" priority="69" stopIfTrue="1">
      <formula>IF($S27&lt;2,TRUE,)</formula>
    </cfRule>
  </conditionalFormatting>
  <conditionalFormatting sqref="F27:F42">
    <cfRule type="expression" dxfId="361" priority="68" stopIfTrue="1">
      <formula>IF($S27&lt;1,TRUE,)</formula>
    </cfRule>
  </conditionalFormatting>
  <conditionalFormatting sqref="O27:O42">
    <cfRule type="expression" dxfId="360" priority="67" stopIfTrue="1">
      <formula>IF($S27&lt;10,TRUE,)</formula>
    </cfRule>
  </conditionalFormatting>
  <conditionalFormatting sqref="F27:O27">
    <cfRule type="colorScale" priority="66">
      <colorScale>
        <cfvo type="num" val="0"/>
        <cfvo type="num" val="5"/>
        <cfvo type="num" val="10"/>
        <color rgb="FF00B050"/>
        <color rgb="FFFFFF00"/>
        <color rgb="FFFF0000"/>
      </colorScale>
    </cfRule>
  </conditionalFormatting>
  <conditionalFormatting sqref="N27">
    <cfRule type="expression" dxfId="359" priority="65" stopIfTrue="1">
      <formula>IF($S27&lt;9,TRUE,)</formula>
    </cfRule>
  </conditionalFormatting>
  <conditionalFormatting sqref="M27">
    <cfRule type="expression" dxfId="358" priority="64" stopIfTrue="1">
      <formula>IF($S27&lt;8,TRUE,)</formula>
    </cfRule>
  </conditionalFormatting>
  <conditionalFormatting sqref="L27">
    <cfRule type="expression" dxfId="357" priority="63" stopIfTrue="1">
      <formula>IF($S27&lt;7,TRUE,)</formula>
    </cfRule>
  </conditionalFormatting>
  <conditionalFormatting sqref="K27">
    <cfRule type="expression" dxfId="356" priority="62" stopIfTrue="1">
      <formula>IF($S27&lt;6,TRUE,)</formula>
    </cfRule>
  </conditionalFormatting>
  <conditionalFormatting sqref="J27">
    <cfRule type="expression" dxfId="355" priority="61" stopIfTrue="1">
      <formula>IF($S27&lt;5,TRUE,)</formula>
    </cfRule>
  </conditionalFormatting>
  <conditionalFormatting sqref="I27">
    <cfRule type="expression" dxfId="354" priority="60" stopIfTrue="1">
      <formula>IF($S27&lt;4,TRUE,)</formula>
    </cfRule>
  </conditionalFormatting>
  <conditionalFormatting sqref="H27">
    <cfRule type="expression" dxfId="353" priority="59" stopIfTrue="1">
      <formula>IF($S27&lt;3,TRUE,)</formula>
    </cfRule>
  </conditionalFormatting>
  <conditionalFormatting sqref="G27">
    <cfRule type="expression" dxfId="352" priority="58" stopIfTrue="1">
      <formula>IF($S27&lt;2,TRUE,)</formula>
    </cfRule>
  </conditionalFormatting>
  <conditionalFormatting sqref="F27">
    <cfRule type="expression" dxfId="351" priority="57" stopIfTrue="1">
      <formula>IF($S27&lt;1,TRUE,)</formula>
    </cfRule>
  </conditionalFormatting>
  <conditionalFormatting sqref="O27">
    <cfRule type="expression" dxfId="350" priority="56" stopIfTrue="1">
      <formula>IF($S27&lt;10,TRUE,)</formula>
    </cfRule>
  </conditionalFormatting>
  <conditionalFormatting sqref="F42:O42">
    <cfRule type="colorScale" priority="55">
      <colorScale>
        <cfvo type="num" val="0"/>
        <cfvo type="num" val="5"/>
        <cfvo type="num" val="10"/>
        <color rgb="FF00B050"/>
        <color rgb="FFFFFF00"/>
        <color rgb="FFFF0000"/>
      </colorScale>
    </cfRule>
  </conditionalFormatting>
  <conditionalFormatting sqref="N42">
    <cfRule type="expression" dxfId="349" priority="54" stopIfTrue="1">
      <formula>IF($S42&lt;9,TRUE,)</formula>
    </cfRule>
  </conditionalFormatting>
  <conditionalFormatting sqref="M42">
    <cfRule type="expression" dxfId="348" priority="53" stopIfTrue="1">
      <formula>IF($S42&lt;8,TRUE,)</formula>
    </cfRule>
  </conditionalFormatting>
  <conditionalFormatting sqref="L42">
    <cfRule type="expression" dxfId="347" priority="52" stopIfTrue="1">
      <formula>IF($S42&lt;7,TRUE,)</formula>
    </cfRule>
  </conditionalFormatting>
  <conditionalFormatting sqref="K42">
    <cfRule type="expression" dxfId="346" priority="51" stopIfTrue="1">
      <formula>IF($S42&lt;6,TRUE,)</formula>
    </cfRule>
  </conditionalFormatting>
  <conditionalFormatting sqref="J42">
    <cfRule type="expression" dxfId="345" priority="50" stopIfTrue="1">
      <formula>IF($S42&lt;5,TRUE,)</formula>
    </cfRule>
  </conditionalFormatting>
  <conditionalFormatting sqref="I42">
    <cfRule type="expression" dxfId="344" priority="49" stopIfTrue="1">
      <formula>IF($S42&lt;4,TRUE,)</formula>
    </cfRule>
  </conditionalFormatting>
  <conditionalFormatting sqref="H42">
    <cfRule type="expression" dxfId="343" priority="48" stopIfTrue="1">
      <formula>IF($S42&lt;3,TRUE,)</formula>
    </cfRule>
  </conditionalFormatting>
  <conditionalFormatting sqref="G42">
    <cfRule type="expression" dxfId="342" priority="47" stopIfTrue="1">
      <formula>IF($S42&lt;2,TRUE,)</formula>
    </cfRule>
  </conditionalFormatting>
  <conditionalFormatting sqref="F42">
    <cfRule type="expression" dxfId="341" priority="46" stopIfTrue="1">
      <formula>IF($S42&lt;1,TRUE,)</formula>
    </cfRule>
  </conditionalFormatting>
  <conditionalFormatting sqref="O42">
    <cfRule type="expression" dxfId="340" priority="45" stopIfTrue="1">
      <formula>IF($S42&lt;10,TRUE,)</formula>
    </cfRule>
  </conditionalFormatting>
  <conditionalFormatting sqref="F31:O32">
    <cfRule type="colorScale" priority="44">
      <colorScale>
        <cfvo type="num" val="0"/>
        <cfvo type="num" val="5"/>
        <cfvo type="num" val="10"/>
        <color rgb="FF00B050"/>
        <color rgb="FFFFFF00"/>
        <color rgb="FFFF0000"/>
      </colorScale>
    </cfRule>
  </conditionalFormatting>
  <conditionalFormatting sqref="N31:N32">
    <cfRule type="expression" dxfId="339" priority="43" stopIfTrue="1">
      <formula>IF($S31&lt;9,TRUE,)</formula>
    </cfRule>
  </conditionalFormatting>
  <conditionalFormatting sqref="M31:M32">
    <cfRule type="expression" dxfId="338" priority="42" stopIfTrue="1">
      <formula>IF($S31&lt;8,TRUE,)</formula>
    </cfRule>
  </conditionalFormatting>
  <conditionalFormatting sqref="L31:L32">
    <cfRule type="expression" dxfId="337" priority="41" stopIfTrue="1">
      <formula>IF($S31&lt;7,TRUE,)</formula>
    </cfRule>
  </conditionalFormatting>
  <conditionalFormatting sqref="K31:K32">
    <cfRule type="expression" dxfId="336" priority="40" stopIfTrue="1">
      <formula>IF($S31&lt;6,TRUE,)</formula>
    </cfRule>
  </conditionalFormatting>
  <conditionalFormatting sqref="J31:J32">
    <cfRule type="expression" dxfId="335" priority="39" stopIfTrue="1">
      <formula>IF($S31&lt;5,TRUE,)</formula>
    </cfRule>
  </conditionalFormatting>
  <conditionalFormatting sqref="I31:I32">
    <cfRule type="expression" dxfId="334" priority="38" stopIfTrue="1">
      <formula>IF($S31&lt;4,TRUE,)</formula>
    </cfRule>
  </conditionalFormatting>
  <conditionalFormatting sqref="H31:H32">
    <cfRule type="expression" dxfId="333" priority="37" stopIfTrue="1">
      <formula>IF($S31&lt;3,TRUE,)</formula>
    </cfRule>
  </conditionalFormatting>
  <conditionalFormatting sqref="G31:G32">
    <cfRule type="expression" dxfId="332" priority="36" stopIfTrue="1">
      <formula>IF($S31&lt;2,TRUE,)</formula>
    </cfRule>
  </conditionalFormatting>
  <conditionalFormatting sqref="F31:F32">
    <cfRule type="expression" dxfId="331" priority="35" stopIfTrue="1">
      <formula>IF($S31&lt;1,TRUE,)</formula>
    </cfRule>
  </conditionalFormatting>
  <conditionalFormatting sqref="O31:O32">
    <cfRule type="expression" dxfId="330" priority="34" stopIfTrue="1">
      <formula>IF($S31&lt;10,TRUE,)</formula>
    </cfRule>
  </conditionalFormatting>
  <conditionalFormatting sqref="F38:O39">
    <cfRule type="colorScale" priority="33">
      <colorScale>
        <cfvo type="num" val="0"/>
        <cfvo type="num" val="5"/>
        <cfvo type="num" val="10"/>
        <color rgb="FF00B050"/>
        <color rgb="FFFFFF00"/>
        <color rgb="FFFF0000"/>
      </colorScale>
    </cfRule>
  </conditionalFormatting>
  <conditionalFormatting sqref="N38:N39">
    <cfRule type="expression" dxfId="329" priority="32" stopIfTrue="1">
      <formula>IF($S38&lt;9,TRUE,)</formula>
    </cfRule>
  </conditionalFormatting>
  <conditionalFormatting sqref="M38:M39">
    <cfRule type="expression" dxfId="328" priority="31" stopIfTrue="1">
      <formula>IF($S38&lt;8,TRUE,)</formula>
    </cfRule>
  </conditionalFormatting>
  <conditionalFormatting sqref="L38:L39">
    <cfRule type="expression" dxfId="327" priority="30" stopIfTrue="1">
      <formula>IF($S38&lt;7,TRUE,)</formula>
    </cfRule>
  </conditionalFormatting>
  <conditionalFormatting sqref="K38:K39">
    <cfRule type="expression" dxfId="326" priority="29" stopIfTrue="1">
      <formula>IF($S38&lt;6,TRUE,)</formula>
    </cfRule>
  </conditionalFormatting>
  <conditionalFormatting sqref="J38:J39">
    <cfRule type="expression" dxfId="325" priority="28" stopIfTrue="1">
      <formula>IF($S38&lt;5,TRUE,)</formula>
    </cfRule>
  </conditionalFormatting>
  <conditionalFormatting sqref="I38:I39">
    <cfRule type="expression" dxfId="324" priority="27" stopIfTrue="1">
      <formula>IF($S38&lt;4,TRUE,)</formula>
    </cfRule>
  </conditionalFormatting>
  <conditionalFormatting sqref="H38:H39">
    <cfRule type="expression" dxfId="323" priority="26" stopIfTrue="1">
      <formula>IF($S38&lt;3,TRUE,)</formula>
    </cfRule>
  </conditionalFormatting>
  <conditionalFormatting sqref="G38:G39">
    <cfRule type="expression" dxfId="322" priority="25" stopIfTrue="1">
      <formula>IF($S38&lt;2,TRUE,)</formula>
    </cfRule>
  </conditionalFormatting>
  <conditionalFormatting sqref="F38:F39">
    <cfRule type="expression" dxfId="321" priority="24" stopIfTrue="1">
      <formula>IF($S38&lt;1,TRUE,)</formula>
    </cfRule>
  </conditionalFormatting>
  <conditionalFormatting sqref="O38:O39">
    <cfRule type="expression" dxfId="320" priority="23" stopIfTrue="1">
      <formula>IF($S38&lt;10,TRUE,)</formula>
    </cfRule>
  </conditionalFormatting>
  <conditionalFormatting sqref="F33:O34">
    <cfRule type="colorScale" priority="22">
      <colorScale>
        <cfvo type="num" val="0"/>
        <cfvo type="num" val="5"/>
        <cfvo type="num" val="10"/>
        <color rgb="FF00B050"/>
        <color rgb="FFFFFF00"/>
        <color rgb="FFFF0000"/>
      </colorScale>
    </cfRule>
  </conditionalFormatting>
  <conditionalFormatting sqref="N33:N34">
    <cfRule type="expression" dxfId="319" priority="21" stopIfTrue="1">
      <formula>IF($S33&lt;9,TRUE,)</formula>
    </cfRule>
  </conditionalFormatting>
  <conditionalFormatting sqref="M33:M34">
    <cfRule type="expression" dxfId="318" priority="20" stopIfTrue="1">
      <formula>IF($S33&lt;8,TRUE,)</formula>
    </cfRule>
  </conditionalFormatting>
  <conditionalFormatting sqref="L33:L34">
    <cfRule type="expression" dxfId="317" priority="19" stopIfTrue="1">
      <formula>IF($S33&lt;7,TRUE,)</formula>
    </cfRule>
  </conditionalFormatting>
  <conditionalFormatting sqref="K33:K34">
    <cfRule type="expression" dxfId="316" priority="18" stopIfTrue="1">
      <formula>IF($S33&lt;6,TRUE,)</formula>
    </cfRule>
  </conditionalFormatting>
  <conditionalFormatting sqref="J33:J34">
    <cfRule type="expression" dxfId="315" priority="17" stopIfTrue="1">
      <formula>IF($S33&lt;5,TRUE,)</formula>
    </cfRule>
  </conditionalFormatting>
  <conditionalFormatting sqref="I33:I34">
    <cfRule type="expression" dxfId="314" priority="16" stopIfTrue="1">
      <formula>IF($S33&lt;4,TRUE,)</formula>
    </cfRule>
  </conditionalFormatting>
  <conditionalFormatting sqref="H33:H34">
    <cfRule type="expression" dxfId="313" priority="15" stopIfTrue="1">
      <formula>IF($S33&lt;3,TRUE,)</formula>
    </cfRule>
  </conditionalFormatting>
  <conditionalFormatting sqref="G33:G34">
    <cfRule type="expression" dxfId="312" priority="14" stopIfTrue="1">
      <formula>IF($S33&lt;2,TRUE,)</formula>
    </cfRule>
  </conditionalFormatting>
  <conditionalFormatting sqref="F33:F34">
    <cfRule type="expression" dxfId="311" priority="13" stopIfTrue="1">
      <formula>IF($S33&lt;1,TRUE,)</formula>
    </cfRule>
  </conditionalFormatting>
  <conditionalFormatting sqref="O33:O34">
    <cfRule type="expression" dxfId="310" priority="12" stopIfTrue="1">
      <formula>IF($S33&lt;10,TRUE,)</formula>
    </cfRule>
  </conditionalFormatting>
  <conditionalFormatting sqref="F40:O41">
    <cfRule type="colorScale" priority="11">
      <colorScale>
        <cfvo type="num" val="0"/>
        <cfvo type="num" val="5"/>
        <cfvo type="num" val="10"/>
        <color rgb="FF00B050"/>
        <color rgb="FFFFFF00"/>
        <color rgb="FFFF0000"/>
      </colorScale>
    </cfRule>
  </conditionalFormatting>
  <conditionalFormatting sqref="N40:N41">
    <cfRule type="expression" dxfId="309" priority="10" stopIfTrue="1">
      <formula>IF($S40&lt;9,TRUE,)</formula>
    </cfRule>
  </conditionalFormatting>
  <conditionalFormatting sqref="M40:M41">
    <cfRule type="expression" dxfId="308" priority="9" stopIfTrue="1">
      <formula>IF($S40&lt;8,TRUE,)</formula>
    </cfRule>
  </conditionalFormatting>
  <conditionalFormatting sqref="L40:L41">
    <cfRule type="expression" dxfId="307" priority="8" stopIfTrue="1">
      <formula>IF($S40&lt;7,TRUE,)</formula>
    </cfRule>
  </conditionalFormatting>
  <conditionalFormatting sqref="K40:K41">
    <cfRule type="expression" dxfId="306" priority="7" stopIfTrue="1">
      <formula>IF($S40&lt;6,TRUE,)</formula>
    </cfRule>
  </conditionalFormatting>
  <conditionalFormatting sqref="J40:J41">
    <cfRule type="expression" dxfId="305" priority="6" stopIfTrue="1">
      <formula>IF($S40&lt;5,TRUE,)</formula>
    </cfRule>
  </conditionalFormatting>
  <conditionalFormatting sqref="I40:I41">
    <cfRule type="expression" dxfId="304" priority="5" stopIfTrue="1">
      <formula>IF($S40&lt;4,TRUE,)</formula>
    </cfRule>
  </conditionalFormatting>
  <conditionalFormatting sqref="H40:H41">
    <cfRule type="expression" dxfId="303" priority="4" stopIfTrue="1">
      <formula>IF($S40&lt;3,TRUE,)</formula>
    </cfRule>
  </conditionalFormatting>
  <conditionalFormatting sqref="G40:G41">
    <cfRule type="expression" dxfId="302" priority="3" stopIfTrue="1">
      <formula>IF($S40&lt;2,TRUE,)</formula>
    </cfRule>
  </conditionalFormatting>
  <conditionalFormatting sqref="F40:F41">
    <cfRule type="expression" dxfId="301" priority="2" stopIfTrue="1">
      <formula>IF($S40&lt;1,TRUE,)</formula>
    </cfRule>
  </conditionalFormatting>
  <conditionalFormatting sqref="O40:O41">
    <cfRule type="expression" dxfId="300" priority="1" stopIfTrue="1">
      <formula>IF($S40&lt;10,TRUE,)</formula>
    </cfRule>
  </conditionalFormatting>
  <dataValidations disablePrompts="1" xWindow="706" yWindow="480" count="11">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108:P108"/>
    <dataValidation type="list" allowBlank="1" showInputMessage="1" showErrorMessage="1" promptTitle="DROP DOWN LIST" prompt="Select whether the named person is staff, a manager or an administrator. Leave this cell blank if you entered a FUNCTION name or left the name blank." sqref="P15:P18 P22:P25 P31:P34 P38:P41 P47:P50 P54:P57 P63:P66 P70:P73 P79:P82 P86:P89 P95:P98 P102:P105">
      <formula1>R.DDL_DEQStaffRank</formula1>
    </dataValidation>
    <dataValidation allowBlank="1" showInputMessage="1" showErrorMessage="1" promptTitle="ENTER NAME" prompt="Enter the name of the STAFF or FUNCTION involved with IMPLEMENTING the project._x000a_" sqref="D22:D25 D38:D41 D54:D57 D70:D73 D86:D89 D102:D105"/>
    <dataValidation allowBlank="1" showInputMessage="1" showErrorMessage="1" promptTitle="ENTER NAME" prompt="Enter the name of the STAFF or FUNCTION involved with DEVELOPING the project._x000a_" sqref="D15:D18 D47:D50 D31:D34 D63:D66 D79:D82 D95:D98"/>
    <dataValidation type="list" allowBlank="1" showInputMessage="1" showErrorMessage="1" promptTitle="DROP DOWN LIST" prompt="Select a range of hours from the drop down list that best describes how involved this resource will be in DEVELOPING this project." sqref="E31:E34 E47:E50 E63:E66 E79:E82 E95:E98 E15:E18">
      <formula1>R.DDL_DEQResourcesInvolved</formula1>
    </dataValidation>
    <dataValidation type="list" allowBlank="1" showInputMessage="1" showErrorMessage="1" promptTitle="DROP DOWN LIST" prompt="Select a range of hours from the drop down list that best describes how involved this resource will be in IMPLEMENTING this project." sqref="E38:E41 E54:E57 E70:E73 E86:E89 E102:E105 E22:E25">
      <formula1>R.DDL_DEQResourcesInvolved</formula1>
    </dataValidation>
    <dataValidation type="list" allowBlank="1" showInputMessage="1" showErrorMessage="1" sqref="P107">
      <formula1>R.DDL_DEQStaffRank</formula1>
    </dataValidation>
    <dataValidation type="textLength" allowBlank="1" showInputMessage="1" showErrorMessage="1" promptTitle="DESCRIBE INVOLVEMENT" prompt="_x000a_Describe how this resource would be involved with the proposal during the development phase of the rule." sqref="D13:P13 D29:P29 D45:P45 D61:P61 D77:P77 D93:P93">
      <formula1>0</formula1>
      <formula2>5000</formula2>
    </dataValidation>
    <dataValidation type="textLength" allowBlank="1" showInputMessage="1" showErrorMessage="1" promptTitle="DESCRIBE INVOLVEMENT" prompt="_x000a_Describe how this resource would be involved with the proposal during the implementation phase of the rule." sqref="D20:P20 D36:P36 D52:P52 D84:P84">
      <formula1>0</formula1>
      <formula2>5000</formula2>
    </dataValidation>
    <dataValidation type="textLength" allowBlank="1" showInputMessage="1" showErrorMessage="1" promptTitle="DESCRIBE INVOLVEMENT" prompt="_x000a_Describe how this resource would be involved with the proposal during the implementation phase of the rule._x000a_" sqref="D100:P100 D68">
      <formula1>0</formula1>
      <formula2>5000</formula2>
    </dataValidation>
    <dataValidation allowBlank="1" showErrorMessage="1" sqref="D7:P8"/>
  </dataValidations>
  <hyperlinks>
    <hyperlink ref="A1" location="R.0Header" display="⧀ Go to Content"/>
    <hyperlink ref="A11" r:id="rId1" display="⧀ Go to LRAPA"/>
    <hyperlink ref="A27" r:id="rId2" display="⧀ Go to EPA"/>
    <hyperlink ref="A59" r:id="rId3" display="⧀ See map"/>
    <hyperlink ref="A75" r:id="rId4" display="⧀ Go to SDAO"/>
    <hyperlink ref="A109" location="R.14Header" display="Go to Top"/>
    <hyperlink ref="A91" r:id="rId5"/>
  </hyperlinks>
  <pageMargins left="0.25" right="0.25" top="0.75" bottom="0.75" header="0.3" footer="0.3"/>
  <pageSetup scale="98" orientation="portrait" horizontalDpi="4294967293" verticalDpi="4294967293" r:id="rId6"/>
  <rowBreaks count="3" manualBreakCount="3">
    <brk id="26" min="2" max="16" man="1"/>
    <brk id="58" min="2" max="16" man="1"/>
    <brk id="90" min="2" max="16" man="1"/>
  </rowBreaks>
  <drawing r:id="rId7"/>
  <legacyDrawing r:id="rId8"/>
</worksheet>
</file>

<file path=xl/worksheets/sheet19.xml><?xml version="1.0" encoding="utf-8"?>
<worksheet xmlns="http://schemas.openxmlformats.org/spreadsheetml/2006/main" xmlns:r="http://schemas.openxmlformats.org/officeDocument/2006/relationships">
  <sheetPr codeName="Sheet20"/>
  <dimension ref="A1:AH82"/>
  <sheetViews>
    <sheetView showGridLines="0" zoomScaleNormal="100" workbookViewId="0">
      <selection activeCell="D2" sqref="D2"/>
    </sheetView>
  </sheetViews>
  <sheetFormatPr defaultColWidth="9" defaultRowHeight="20.25" outlineLevelRow="1" outlineLevelCol="1"/>
  <cols>
    <col min="1" max="1" width="14.375" style="64" customWidth="1"/>
    <col min="2" max="2" width="3.625" style="64" customWidth="1"/>
    <col min="3" max="3" width="3.625" style="44" customWidth="1"/>
    <col min="4" max="4" width="40.5" style="161" customWidth="1"/>
    <col min="5" max="5" width="15.75" style="161" customWidth="1"/>
    <col min="6" max="15" width="1.625" style="161" customWidth="1"/>
    <col min="16" max="16" width="15.75" style="161" customWidth="1"/>
    <col min="17" max="17" width="3.625" style="161" customWidth="1"/>
    <col min="18" max="18" width="3.625" style="302" customWidth="1"/>
    <col min="19" max="19" width="2.625" style="64" customWidth="1"/>
    <col min="20" max="20" width="9" style="113" hidden="1" customWidth="1" outlineLevel="1"/>
    <col min="21" max="21" width="14.875" style="64" hidden="1" customWidth="1" outlineLevel="1"/>
    <col min="22" max="22" width="14.625" style="64" hidden="1" customWidth="1" outlineLevel="1"/>
    <col min="23" max="23" width="5.125" style="64" customWidth="1" collapsed="1"/>
    <col min="24" max="24" width="30.625" style="64" customWidth="1"/>
    <col min="25" max="25" width="18" style="64" customWidth="1"/>
    <col min="26" max="34" width="31.125" style="64" customWidth="1"/>
    <col min="35" max="16384" width="9" style="161"/>
  </cols>
  <sheetData>
    <row r="1" spans="1:34" s="64" customFormat="1" ht="20.25" customHeight="1">
      <c r="A1" s="350" t="s">
        <v>104</v>
      </c>
      <c r="B1" s="334"/>
      <c r="C1" s="334"/>
      <c r="D1" s="334"/>
      <c r="E1" s="334"/>
      <c r="F1" s="334"/>
      <c r="G1" s="334"/>
      <c r="H1" s="334"/>
      <c r="I1" s="334"/>
      <c r="J1" s="334"/>
      <c r="K1" s="334"/>
      <c r="L1" s="334"/>
      <c r="M1" s="334"/>
      <c r="N1" s="334"/>
      <c r="O1" s="334"/>
      <c r="P1" s="334"/>
      <c r="Q1" s="334"/>
      <c r="R1" s="334"/>
      <c r="T1" s="113"/>
    </row>
    <row r="2" spans="1:34" s="6" customFormat="1" ht="30" customHeight="1" thickBot="1">
      <c r="A2" s="350" t="s">
        <v>117</v>
      </c>
      <c r="B2" s="334"/>
      <c r="C2" s="152">
        <v>15</v>
      </c>
      <c r="D2" s="246" t="s">
        <v>87</v>
      </c>
      <c r="E2" s="713" t="str">
        <f>R.1MediaAndLongName</f>
        <v>CP Division 12 Updates</v>
      </c>
      <c r="F2" s="713"/>
      <c r="G2" s="713"/>
      <c r="H2" s="713"/>
      <c r="I2" s="713"/>
      <c r="J2" s="713"/>
      <c r="K2" s="713"/>
      <c r="L2" s="713"/>
      <c r="M2" s="713"/>
      <c r="N2" s="713"/>
      <c r="O2" s="713"/>
      <c r="P2" s="713"/>
      <c r="Q2" s="154"/>
      <c r="R2" s="334"/>
      <c r="S2" s="66"/>
      <c r="T2" s="119" t="str">
        <f>"R."&amp;$C$2&amp;"StaffCount"</f>
        <v>R.15StaffCount</v>
      </c>
      <c r="U2" s="119" t="str">
        <f>"R."&amp;$C$2&amp;"LowHrs"</f>
        <v>R.15LowHrs</v>
      </c>
      <c r="V2" s="349" t="str">
        <f>"R."&amp;$C$2&amp;"HighHrs"</f>
        <v>R.15HighHrs</v>
      </c>
      <c r="X2" s="120" t="s">
        <v>0</v>
      </c>
      <c r="Y2" s="64"/>
      <c r="Z2" s="64"/>
      <c r="AA2" s="64"/>
      <c r="AB2" s="64"/>
      <c r="AC2" s="64"/>
      <c r="AD2" s="64"/>
      <c r="AE2" s="66"/>
      <c r="AF2" s="66"/>
      <c r="AG2" s="66"/>
      <c r="AH2" s="66"/>
    </row>
    <row r="3" spans="1:34" s="6" customFormat="1" ht="20.25" customHeight="1" thickTop="1">
      <c r="A3" s="114"/>
      <c r="B3" s="334"/>
      <c r="C3" s="155"/>
      <c r="D3" s="96"/>
      <c r="E3" s="96"/>
      <c r="F3" s="13"/>
      <c r="G3" s="164"/>
      <c r="H3" s="164"/>
      <c r="I3" s="164"/>
      <c r="J3" s="97"/>
      <c r="K3" s="13"/>
      <c r="L3" s="13"/>
      <c r="M3" s="699" t="s">
        <v>57</v>
      </c>
      <c r="N3" s="699"/>
      <c r="O3" s="699"/>
      <c r="P3" s="699"/>
      <c r="Q3" s="156"/>
      <c r="R3" s="334"/>
      <c r="S3" s="66"/>
      <c r="T3" s="354">
        <f>COUNTIFS(T13:T72,"&gt;0")</f>
        <v>0</v>
      </c>
      <c r="U3" s="355">
        <f>SUM(U13:U72)</f>
        <v>0</v>
      </c>
      <c r="V3" s="355">
        <f>SUM(V13:V72)</f>
        <v>0</v>
      </c>
      <c r="W3" s="120"/>
      <c r="X3" s="64"/>
      <c r="Y3" s="64"/>
      <c r="Z3" s="64"/>
      <c r="AA3" s="64"/>
      <c r="AB3" s="64"/>
      <c r="AC3" s="64"/>
      <c r="AD3" s="64"/>
      <c r="AE3" s="66"/>
      <c r="AF3" s="66"/>
      <c r="AG3" s="66"/>
      <c r="AH3" s="66"/>
    </row>
    <row r="4" spans="1:34" s="6" customFormat="1" ht="20.25" customHeight="1">
      <c r="A4" s="114"/>
      <c r="B4" s="334"/>
      <c r="C4" s="155"/>
      <c r="D4" s="494" t="s">
        <v>55</v>
      </c>
      <c r="E4" s="81">
        <f>T3</f>
        <v>0</v>
      </c>
      <c r="F4" s="700" t="s">
        <v>54</v>
      </c>
      <c r="G4" s="700"/>
      <c r="H4" s="700"/>
      <c r="I4" s="700"/>
      <c r="J4" s="700"/>
      <c r="K4" s="700"/>
      <c r="L4" s="700"/>
      <c r="M4" s="701" t="str">
        <f>T4</f>
        <v>0</v>
      </c>
      <c r="N4" s="701"/>
      <c r="O4" s="701"/>
      <c r="P4" s="701"/>
      <c r="Q4" s="156"/>
      <c r="R4" s="334"/>
      <c r="S4" s="66"/>
      <c r="T4" s="122" t="str">
        <f>IF(R.15StaffCount=0,"0",IF(R.15LowHrs=0,"0-"&amp;TEXT(R.15HighHrs,"#,###"),TEXT(R.15LowHrs,"#,###")&amp;"-"&amp;TEXT(R.15HighHrs,"#,###")))</f>
        <v>0</v>
      </c>
      <c r="U4" s="119" t="str">
        <f>"R."&amp;$C$2&amp;"LowDollars"</f>
        <v>R.15LowDollars</v>
      </c>
      <c r="V4" s="349" t="str">
        <f>"R."&amp;$C$2&amp;"HighDollars"</f>
        <v>R.15HighDollars</v>
      </c>
      <c r="W4" s="120"/>
      <c r="X4" s="64"/>
      <c r="Y4" s="64"/>
      <c r="Z4" s="64"/>
      <c r="AA4" s="64"/>
      <c r="AB4" s="64"/>
      <c r="AC4" s="64"/>
      <c r="AD4" s="64"/>
      <c r="AE4" s="66"/>
      <c r="AF4" s="66"/>
      <c r="AG4" s="66"/>
      <c r="AH4" s="66"/>
    </row>
    <row r="5" spans="1:34" s="6" customFormat="1" ht="20.25" customHeight="1">
      <c r="A5" s="114"/>
      <c r="B5" s="334"/>
      <c r="C5" s="155"/>
      <c r="D5" s="494" t="s">
        <v>67</v>
      </c>
      <c r="E5" s="98">
        <f>R.AvgHrDEQCost</f>
        <v>58</v>
      </c>
      <c r="F5" s="700" t="s">
        <v>58</v>
      </c>
      <c r="G5" s="700"/>
      <c r="H5" s="700"/>
      <c r="I5" s="700"/>
      <c r="J5" s="700"/>
      <c r="K5" s="700"/>
      <c r="L5" s="700"/>
      <c r="M5" s="702" t="str">
        <f>T5</f>
        <v>$0</v>
      </c>
      <c r="N5" s="702"/>
      <c r="O5" s="702"/>
      <c r="P5" s="702"/>
      <c r="Q5" s="156"/>
      <c r="R5" s="334"/>
      <c r="S5" s="66"/>
      <c r="T5" s="122" t="str">
        <f>IF(R.15StaffCount=0,"$0",IF(R.15LowDollars=0,"$0-"&amp;TEXT(R.15HighDollars,"#,###"),TEXT(R.15LowDollars,"$#,###")&amp;"-"&amp;TEXT(R.15HighDollars,"#,###")))</f>
        <v>$0</v>
      </c>
      <c r="U5" s="124">
        <f>U3*E5</f>
        <v>0</v>
      </c>
      <c r="V5" s="124">
        <f>V3*E5</f>
        <v>0</v>
      </c>
      <c r="W5" s="120"/>
      <c r="X5" s="64"/>
      <c r="Y5" s="64"/>
      <c r="Z5" s="64"/>
      <c r="AA5" s="64"/>
      <c r="AB5" s="64"/>
      <c r="AC5" s="64"/>
      <c r="AD5" s="64"/>
      <c r="AE5" s="66"/>
      <c r="AF5" s="66"/>
      <c r="AG5" s="66"/>
      <c r="AH5" s="66"/>
    </row>
    <row r="6" spans="1:34" s="6" customFormat="1" ht="30" customHeight="1">
      <c r="A6" s="114"/>
      <c r="B6" s="334"/>
      <c r="C6" s="155"/>
      <c r="D6" s="501" t="s">
        <v>29</v>
      </c>
      <c r="E6" s="100"/>
      <c r="F6" s="99"/>
      <c r="G6" s="99"/>
      <c r="H6" s="99"/>
      <c r="I6" s="99"/>
      <c r="J6" s="99"/>
      <c r="K6" s="99"/>
      <c r="L6" s="99"/>
      <c r="M6" s="99"/>
      <c r="N6" s="99"/>
      <c r="O6" s="99"/>
      <c r="P6" s="99"/>
      <c r="Q6" s="156"/>
      <c r="R6" s="334"/>
      <c r="S6" s="66"/>
      <c r="T6" s="66"/>
      <c r="U6" s="66"/>
      <c r="V6" s="66"/>
      <c r="W6" s="120"/>
      <c r="X6" s="64"/>
      <c r="Y6" s="64"/>
      <c r="Z6" s="64"/>
      <c r="AA6" s="64"/>
      <c r="AB6" s="64"/>
      <c r="AC6" s="64"/>
      <c r="AD6" s="64"/>
      <c r="AE6" s="66"/>
      <c r="AF6" s="66"/>
      <c r="AG6" s="66"/>
      <c r="AH6" s="66"/>
    </row>
    <row r="7" spans="1:34" s="69" customFormat="1" ht="43.5" customHeight="1">
      <c r="A7" s="115"/>
      <c r="B7" s="334"/>
      <c r="C7" s="157"/>
      <c r="D7" s="694"/>
      <c r="E7" s="695"/>
      <c r="F7" s="695"/>
      <c r="G7" s="695"/>
      <c r="H7" s="695"/>
      <c r="I7" s="695"/>
      <c r="J7" s="695"/>
      <c r="K7" s="695"/>
      <c r="L7" s="695"/>
      <c r="M7" s="695"/>
      <c r="N7" s="695"/>
      <c r="O7" s="695"/>
      <c r="P7" s="696"/>
      <c r="Q7" s="158"/>
      <c r="R7" s="334"/>
      <c r="S7" s="125"/>
      <c r="T7" s="712" t="s">
        <v>0</v>
      </c>
      <c r="U7" s="712"/>
      <c r="V7" s="712"/>
      <c r="W7" s="126"/>
      <c r="X7" s="126" t="s">
        <v>0</v>
      </c>
      <c r="Y7" s="126"/>
      <c r="Z7" s="126"/>
      <c r="AA7" s="126"/>
      <c r="AB7" s="126"/>
      <c r="AC7" s="126"/>
      <c r="AD7" s="126"/>
      <c r="AE7" s="125"/>
      <c r="AF7" s="125"/>
      <c r="AG7" s="125"/>
      <c r="AH7" s="125"/>
    </row>
    <row r="8" spans="1:34" s="69" customFormat="1" ht="14.25" customHeight="1">
      <c r="A8" s="115"/>
      <c r="B8" s="334"/>
      <c r="C8" s="404"/>
      <c r="D8" s="405"/>
      <c r="E8" s="405"/>
      <c r="F8" s="405"/>
      <c r="G8" s="405"/>
      <c r="H8" s="405"/>
      <c r="I8" s="405"/>
      <c r="J8" s="405"/>
      <c r="K8" s="405"/>
      <c r="L8" s="405"/>
      <c r="M8" s="405"/>
      <c r="N8" s="405"/>
      <c r="O8" s="405"/>
      <c r="P8" s="405"/>
      <c r="Q8" s="406"/>
      <c r="R8" s="334"/>
      <c r="S8" s="125"/>
      <c r="T8" s="125"/>
      <c r="U8" s="125"/>
      <c r="V8" s="125"/>
      <c r="W8" s="126"/>
      <c r="X8" s="126"/>
      <c r="Y8" s="126"/>
      <c r="Z8" s="126"/>
      <c r="AA8" s="126"/>
      <c r="AB8" s="126"/>
      <c r="AC8" s="126"/>
      <c r="AD8" s="126"/>
      <c r="AE8" s="125"/>
      <c r="AF8" s="125"/>
      <c r="AG8" s="125"/>
      <c r="AH8" s="125"/>
    </row>
    <row r="9" spans="1:34" s="33" customFormat="1" ht="30" customHeight="1">
      <c r="A9" s="116"/>
      <c r="B9" s="334"/>
      <c r="C9" s="483" t="s">
        <v>0</v>
      </c>
      <c r="D9" s="529" t="s">
        <v>241</v>
      </c>
      <c r="E9" s="382"/>
      <c r="F9" s="382"/>
      <c r="G9" s="382"/>
      <c r="H9" s="382"/>
      <c r="I9" s="382"/>
      <c r="J9" s="382"/>
      <c r="K9" s="382"/>
      <c r="L9" s="382"/>
      <c r="M9" s="382"/>
      <c r="N9" s="382"/>
      <c r="O9" s="382"/>
      <c r="P9" s="382"/>
      <c r="Q9" s="384"/>
      <c r="R9" s="334"/>
      <c r="S9" s="127"/>
      <c r="T9" s="128"/>
      <c r="U9" s="127"/>
      <c r="V9" s="127"/>
      <c r="W9" s="129"/>
      <c r="X9" s="129"/>
      <c r="Y9" s="129"/>
      <c r="Z9" s="129"/>
      <c r="AA9" s="129"/>
      <c r="AB9" s="129"/>
      <c r="AC9" s="129"/>
      <c r="AD9" s="129"/>
      <c r="AE9" s="127"/>
      <c r="AF9" s="127"/>
      <c r="AG9" s="127"/>
      <c r="AH9" s="127"/>
    </row>
    <row r="10" spans="1:34" s="203" customFormat="1" ht="14.25" customHeight="1">
      <c r="A10" s="200"/>
      <c r="B10" s="334"/>
      <c r="C10" s="210"/>
      <c r="D10" s="443" t="s">
        <v>53</v>
      </c>
      <c r="E10" s="486"/>
      <c r="F10" s="486"/>
      <c r="G10" s="486"/>
      <c r="H10" s="486"/>
      <c r="I10" s="486"/>
      <c r="J10" s="486"/>
      <c r="K10" s="486"/>
      <c r="L10" s="486"/>
      <c r="M10" s="486"/>
      <c r="N10" s="486"/>
      <c r="O10" s="486"/>
      <c r="P10" s="486"/>
      <c r="Q10" s="211"/>
      <c r="R10" s="334"/>
      <c r="S10" s="188"/>
      <c r="T10" s="201"/>
      <c r="U10" s="188"/>
      <c r="V10" s="188"/>
      <c r="W10" s="202"/>
      <c r="X10" s="202"/>
      <c r="Y10" s="202"/>
      <c r="Z10" s="202"/>
      <c r="AA10" s="202"/>
      <c r="AB10" s="202"/>
      <c r="AC10" s="202"/>
      <c r="AD10" s="202"/>
      <c r="AE10" s="188"/>
      <c r="AF10" s="188"/>
      <c r="AG10" s="188"/>
      <c r="AH10" s="188"/>
    </row>
    <row r="11" spans="1:34" s="28" customFormat="1" ht="15.75" customHeight="1">
      <c r="A11" s="117"/>
      <c r="B11" s="334"/>
      <c r="C11" s="138"/>
      <c r="D11" s="719"/>
      <c r="E11" s="720"/>
      <c r="F11" s="720"/>
      <c r="G11" s="720"/>
      <c r="H11" s="720"/>
      <c r="I11" s="720"/>
      <c r="J11" s="720"/>
      <c r="K11" s="720"/>
      <c r="L11" s="720"/>
      <c r="M11" s="720"/>
      <c r="N11" s="720"/>
      <c r="O11" s="720"/>
      <c r="P11" s="721"/>
      <c r="Q11" s="139"/>
      <c r="R11" s="334"/>
      <c r="S11" s="130"/>
      <c r="T11" s="131"/>
      <c r="U11" s="130"/>
      <c r="V11" s="130"/>
      <c r="W11" s="64"/>
      <c r="X11" s="64"/>
      <c r="Z11" s="64"/>
      <c r="AA11" s="64"/>
      <c r="AB11" s="64"/>
      <c r="AC11" s="64"/>
      <c r="AD11" s="64"/>
      <c r="AE11" s="130"/>
      <c r="AF11" s="130"/>
      <c r="AG11" s="130"/>
      <c r="AH11" s="130"/>
    </row>
    <row r="12" spans="1:34" s="203" customFormat="1" ht="15.75" customHeight="1">
      <c r="A12" s="200"/>
      <c r="B12" s="334"/>
      <c r="C12" s="259"/>
      <c r="D12" s="497" t="s">
        <v>60</v>
      </c>
      <c r="E12" s="393" t="s">
        <v>18</v>
      </c>
      <c r="F12" s="733" t="s">
        <v>19</v>
      </c>
      <c r="G12" s="733"/>
      <c r="H12" s="733"/>
      <c r="I12" s="733"/>
      <c r="J12" s="733"/>
      <c r="K12" s="733"/>
      <c r="L12" s="733"/>
      <c r="M12" s="733"/>
      <c r="N12" s="733"/>
      <c r="O12" s="733"/>
      <c r="P12" s="393" t="s">
        <v>20</v>
      </c>
      <c r="Q12" s="211"/>
      <c r="R12" s="334"/>
      <c r="S12" s="188"/>
      <c r="T12" s="204"/>
      <c r="U12" s="205"/>
      <c r="V12" s="205"/>
      <c r="W12" s="202"/>
      <c r="X12" s="202"/>
      <c r="Z12" s="202"/>
      <c r="AA12" s="202"/>
      <c r="AB12" s="202"/>
      <c r="AC12" s="202"/>
      <c r="AD12" s="202"/>
      <c r="AE12" s="188"/>
      <c r="AF12" s="188"/>
      <c r="AG12" s="188"/>
      <c r="AH12" s="188"/>
    </row>
    <row r="13" spans="1:34" s="28" customFormat="1" ht="15.75" customHeight="1">
      <c r="A13" s="117"/>
      <c r="B13" s="334"/>
      <c r="C13" s="138"/>
      <c r="D13" s="36"/>
      <c r="E13" s="30" t="s">
        <v>229</v>
      </c>
      <c r="F13" s="71">
        <v>1</v>
      </c>
      <c r="G13" s="72">
        <v>2</v>
      </c>
      <c r="H13" s="73">
        <v>3</v>
      </c>
      <c r="I13" s="74">
        <v>4</v>
      </c>
      <c r="J13" s="75">
        <v>5</v>
      </c>
      <c r="K13" s="76">
        <v>6</v>
      </c>
      <c r="L13" s="77">
        <v>7</v>
      </c>
      <c r="M13" s="78">
        <v>8</v>
      </c>
      <c r="N13" s="79">
        <v>9</v>
      </c>
      <c r="O13" s="80">
        <v>10</v>
      </c>
      <c r="P13" s="32"/>
      <c r="Q13" s="139"/>
      <c r="R13" s="334"/>
      <c r="S13" s="575" t="s">
        <v>554</v>
      </c>
      <c r="T13" s="133">
        <f>VLOOKUP($E13,R.VL_DEQResourcesInvolved,2,FALSE)</f>
        <v>0</v>
      </c>
      <c r="U13" s="121">
        <f>VLOOKUP($E13,R.VL_DEQResourcesInvolved,3,FALSE)</f>
        <v>0</v>
      </c>
      <c r="V13" s="121">
        <f>IF(T13=10,U13,VLOOKUP($E13,R.VL_DEQResourcesInvolved,4,FALSE))</f>
        <v>0</v>
      </c>
      <c r="W13" s="64"/>
      <c r="X13" s="64"/>
      <c r="Z13" s="64"/>
      <c r="AA13" s="64"/>
      <c r="AB13" s="64"/>
      <c r="AC13" s="64"/>
      <c r="AD13" s="64"/>
      <c r="AE13" s="130"/>
      <c r="AF13" s="130"/>
      <c r="AG13" s="130"/>
      <c r="AH13" s="130"/>
    </row>
    <row r="14" spans="1:34" s="28" customFormat="1" ht="15.75" hidden="1" customHeight="1" outlineLevel="1">
      <c r="A14" s="117"/>
      <c r="B14" s="334"/>
      <c r="C14" s="138"/>
      <c r="D14" s="36" t="s">
        <v>0</v>
      </c>
      <c r="E14" s="30" t="s">
        <v>229</v>
      </c>
      <c r="F14" s="71">
        <v>1</v>
      </c>
      <c r="G14" s="72">
        <v>2</v>
      </c>
      <c r="H14" s="73">
        <v>3</v>
      </c>
      <c r="I14" s="74">
        <v>4</v>
      </c>
      <c r="J14" s="75">
        <v>5</v>
      </c>
      <c r="K14" s="76">
        <v>6</v>
      </c>
      <c r="L14" s="77">
        <v>7</v>
      </c>
      <c r="M14" s="78">
        <v>8</v>
      </c>
      <c r="N14" s="79">
        <v>9</v>
      </c>
      <c r="O14" s="80">
        <v>10</v>
      </c>
      <c r="P14" s="32" t="s">
        <v>0</v>
      </c>
      <c r="Q14" s="139"/>
      <c r="R14" s="334"/>
      <c r="S14" s="130"/>
      <c r="T14" s="133">
        <f>VLOOKUP($E14,R.VL_DEQResourcesInvolved,2,FALSE)</f>
        <v>0</v>
      </c>
      <c r="U14" s="121">
        <f>VLOOKUP($E14,R.VL_DEQResourcesInvolved,3,FALSE)</f>
        <v>0</v>
      </c>
      <c r="V14" s="121">
        <f>IF(T14=10,U14,VLOOKUP($E14,R.VL_DEQResourcesInvolved,4,FALSE))</f>
        <v>0</v>
      </c>
      <c r="W14" s="64"/>
      <c r="X14" s="64"/>
      <c r="Z14" s="64"/>
      <c r="AA14" s="64"/>
      <c r="AB14" s="64"/>
      <c r="AC14" s="64"/>
      <c r="AD14" s="64"/>
      <c r="AE14" s="130"/>
      <c r="AF14" s="130"/>
      <c r="AG14" s="130"/>
      <c r="AH14" s="130"/>
    </row>
    <row r="15" spans="1:34" s="28" customFormat="1" ht="15.75" hidden="1" customHeight="1" outlineLevel="1">
      <c r="A15" s="117"/>
      <c r="B15" s="334"/>
      <c r="C15" s="138"/>
      <c r="D15" s="36" t="s">
        <v>0</v>
      </c>
      <c r="E15" s="30" t="s">
        <v>229</v>
      </c>
      <c r="F15" s="71">
        <v>1</v>
      </c>
      <c r="G15" s="72">
        <v>2</v>
      </c>
      <c r="H15" s="73">
        <v>3</v>
      </c>
      <c r="I15" s="74">
        <v>4</v>
      </c>
      <c r="J15" s="75">
        <v>5</v>
      </c>
      <c r="K15" s="76">
        <v>6</v>
      </c>
      <c r="L15" s="77">
        <v>7</v>
      </c>
      <c r="M15" s="78">
        <v>8</v>
      </c>
      <c r="N15" s="79">
        <v>9</v>
      </c>
      <c r="O15" s="80">
        <v>10</v>
      </c>
      <c r="P15" s="32" t="s">
        <v>0</v>
      </c>
      <c r="Q15" s="139"/>
      <c r="R15" s="334"/>
      <c r="S15" s="130"/>
      <c r="T15" s="133">
        <f>VLOOKUP($E15,R.VL_DEQResourcesInvolved,2,FALSE)</f>
        <v>0</v>
      </c>
      <c r="U15" s="121">
        <f>VLOOKUP($E15,R.VL_DEQResourcesInvolved,3,FALSE)</f>
        <v>0</v>
      </c>
      <c r="V15" s="121">
        <f>IF(T15=10,U15,VLOOKUP($E15,R.VL_DEQResourcesInvolved,4,FALSE))</f>
        <v>0</v>
      </c>
      <c r="W15" s="64"/>
      <c r="X15" s="64"/>
      <c r="Z15" s="64"/>
      <c r="AA15" s="64"/>
      <c r="AB15" s="64"/>
      <c r="AC15" s="64"/>
      <c r="AD15" s="64"/>
      <c r="AE15" s="130"/>
      <c r="AF15" s="130"/>
      <c r="AG15" s="130"/>
      <c r="AH15" s="130"/>
    </row>
    <row r="16" spans="1:34" s="28" customFormat="1" ht="15.75" hidden="1" customHeight="1" outlineLevel="1">
      <c r="A16" s="117"/>
      <c r="B16" s="334"/>
      <c r="C16" s="138"/>
      <c r="D16" s="36" t="s">
        <v>0</v>
      </c>
      <c r="E16" s="30" t="s">
        <v>229</v>
      </c>
      <c r="F16" s="71">
        <v>1</v>
      </c>
      <c r="G16" s="72">
        <v>2</v>
      </c>
      <c r="H16" s="73">
        <v>3</v>
      </c>
      <c r="I16" s="74">
        <v>4</v>
      </c>
      <c r="J16" s="75">
        <v>5</v>
      </c>
      <c r="K16" s="76">
        <v>6</v>
      </c>
      <c r="L16" s="77">
        <v>7</v>
      </c>
      <c r="M16" s="78">
        <v>8</v>
      </c>
      <c r="N16" s="79">
        <v>9</v>
      </c>
      <c r="O16" s="80">
        <v>10</v>
      </c>
      <c r="P16" s="32" t="s">
        <v>0</v>
      </c>
      <c r="Q16" s="139"/>
      <c r="R16" s="334"/>
      <c r="S16" s="130"/>
      <c r="T16" s="133">
        <f>VLOOKUP($E16,R.VL_DEQResourcesInvolved,2,FALSE)</f>
        <v>0</v>
      </c>
      <c r="U16" s="121">
        <f>VLOOKUP($E16,R.VL_DEQResourcesInvolved,3,FALSE)</f>
        <v>0</v>
      </c>
      <c r="V16" s="121">
        <f>IF(T16=10,U16,VLOOKUP($E16,R.VL_DEQResourcesInvolved,4,FALSE))</f>
        <v>0</v>
      </c>
      <c r="W16" s="64"/>
      <c r="X16" s="64"/>
      <c r="Y16" s="64"/>
      <c r="Z16" s="64"/>
      <c r="AA16" s="64"/>
      <c r="AB16" s="64"/>
      <c r="AC16" s="64"/>
      <c r="AD16" s="64"/>
      <c r="AE16" s="130"/>
      <c r="AF16" s="130"/>
      <c r="AG16" s="130"/>
      <c r="AH16" s="130"/>
    </row>
    <row r="17" spans="1:34" s="209" customFormat="1" ht="15.75" customHeight="1" collapsed="1">
      <c r="A17" s="206"/>
      <c r="B17" s="334"/>
      <c r="C17" s="487"/>
      <c r="D17" s="442" t="s">
        <v>52</v>
      </c>
      <c r="E17" s="488"/>
      <c r="F17" s="488"/>
      <c r="G17" s="488"/>
      <c r="H17" s="488"/>
      <c r="I17" s="488"/>
      <c r="J17" s="488"/>
      <c r="K17" s="488"/>
      <c r="L17" s="488"/>
      <c r="M17" s="488"/>
      <c r="N17" s="488"/>
      <c r="O17" s="488"/>
      <c r="P17" s="488"/>
      <c r="Q17" s="489"/>
      <c r="R17" s="334"/>
      <c r="S17" s="207"/>
      <c r="T17" s="204"/>
      <c r="U17" s="205"/>
      <c r="V17" s="205"/>
      <c r="W17" s="208"/>
      <c r="X17" s="208"/>
      <c r="Y17" s="208"/>
      <c r="Z17" s="208"/>
      <c r="AA17" s="208"/>
      <c r="AB17" s="208"/>
      <c r="AC17" s="208"/>
      <c r="AD17" s="208"/>
      <c r="AE17" s="207"/>
      <c r="AF17" s="207"/>
      <c r="AG17" s="207"/>
      <c r="AH17" s="207"/>
    </row>
    <row r="18" spans="1:34" s="28" customFormat="1" ht="15.75" customHeight="1">
      <c r="A18" s="117"/>
      <c r="B18" s="334"/>
      <c r="C18" s="138"/>
      <c r="D18" s="734"/>
      <c r="E18" s="735"/>
      <c r="F18" s="735"/>
      <c r="G18" s="735"/>
      <c r="H18" s="735"/>
      <c r="I18" s="735"/>
      <c r="J18" s="735"/>
      <c r="K18" s="735"/>
      <c r="L18" s="735"/>
      <c r="M18" s="735"/>
      <c r="N18" s="735"/>
      <c r="O18" s="735"/>
      <c r="P18" s="736"/>
      <c r="Q18" s="139"/>
      <c r="R18" s="334"/>
      <c r="S18" s="130"/>
      <c r="T18" s="132" t="s">
        <v>0</v>
      </c>
      <c r="U18" s="131"/>
      <c r="V18" s="131"/>
      <c r="W18" s="64"/>
      <c r="X18" s="64"/>
      <c r="Y18" s="64"/>
      <c r="Z18" s="64"/>
      <c r="AA18" s="64"/>
      <c r="AB18" s="64"/>
      <c r="AC18" s="64"/>
      <c r="AD18" s="64"/>
      <c r="AE18" s="130"/>
      <c r="AF18" s="130"/>
      <c r="AG18" s="130"/>
      <c r="AH18" s="130"/>
    </row>
    <row r="19" spans="1:34" s="203" customFormat="1" ht="15.75" customHeight="1">
      <c r="A19" s="200"/>
      <c r="B19" s="334"/>
      <c r="C19" s="210"/>
      <c r="D19" s="442" t="s">
        <v>60</v>
      </c>
      <c r="E19" s="292" t="s">
        <v>18</v>
      </c>
      <c r="F19" s="749" t="s">
        <v>19</v>
      </c>
      <c r="G19" s="749"/>
      <c r="H19" s="749"/>
      <c r="I19" s="749"/>
      <c r="J19" s="749"/>
      <c r="K19" s="749"/>
      <c r="L19" s="749"/>
      <c r="M19" s="749"/>
      <c r="N19" s="749"/>
      <c r="O19" s="749"/>
      <c r="P19" s="292" t="s">
        <v>20</v>
      </c>
      <c r="Q19" s="211"/>
      <c r="R19" s="334"/>
      <c r="S19" s="188"/>
      <c r="T19" s="204"/>
      <c r="U19" s="205"/>
      <c r="V19" s="205"/>
      <c r="W19" s="202"/>
      <c r="X19" s="202"/>
      <c r="Y19" s="202"/>
      <c r="Z19" s="202"/>
      <c r="AA19" s="202"/>
      <c r="AB19" s="202"/>
      <c r="AC19" s="202"/>
      <c r="AD19" s="202"/>
      <c r="AE19" s="188"/>
      <c r="AF19" s="188"/>
      <c r="AG19" s="188"/>
      <c r="AH19" s="188"/>
    </row>
    <row r="20" spans="1:34" s="28" customFormat="1" ht="15.75" customHeight="1">
      <c r="A20" s="117"/>
      <c r="B20" s="334"/>
      <c r="C20" s="138"/>
      <c r="D20" s="36" t="s">
        <v>0</v>
      </c>
      <c r="E20" s="30" t="s">
        <v>229</v>
      </c>
      <c r="F20" s="71">
        <v>1</v>
      </c>
      <c r="G20" s="72">
        <v>2</v>
      </c>
      <c r="H20" s="73">
        <v>3</v>
      </c>
      <c r="I20" s="74">
        <v>4</v>
      </c>
      <c r="J20" s="75">
        <v>5</v>
      </c>
      <c r="K20" s="76">
        <v>6</v>
      </c>
      <c r="L20" s="77">
        <v>7</v>
      </c>
      <c r="M20" s="78">
        <v>8</v>
      </c>
      <c r="N20" s="79">
        <v>9</v>
      </c>
      <c r="O20" s="80">
        <v>10</v>
      </c>
      <c r="P20" s="32" t="s">
        <v>0</v>
      </c>
      <c r="Q20" s="139"/>
      <c r="R20" s="334"/>
      <c r="S20" s="575" t="s">
        <v>554</v>
      </c>
      <c r="T20" s="133">
        <f>VLOOKUP($E20,R.VL_DEQResourcesInvolved,2,FALSE)</f>
        <v>0</v>
      </c>
      <c r="U20" s="121">
        <f>VLOOKUP($E20,R.VL_DEQResourcesInvolved,3,FALSE)</f>
        <v>0</v>
      </c>
      <c r="V20" s="121">
        <f>IF(T20=10,U20,VLOOKUP($E20,R.VL_DEQResourcesInvolved,4,FALSE))</f>
        <v>0</v>
      </c>
      <c r="W20" s="64"/>
      <c r="X20" s="64"/>
      <c r="Y20" s="64"/>
      <c r="Z20" s="64"/>
      <c r="AA20" s="64"/>
      <c r="AB20" s="64"/>
      <c r="AC20" s="64"/>
      <c r="AD20" s="64"/>
      <c r="AE20" s="130"/>
      <c r="AF20" s="130"/>
      <c r="AG20" s="130"/>
      <c r="AH20" s="130"/>
    </row>
    <row r="21" spans="1:34" s="28" customFormat="1" ht="15.75" hidden="1" customHeight="1" outlineLevel="1">
      <c r="A21" s="117"/>
      <c r="B21" s="334"/>
      <c r="C21" s="138"/>
      <c r="D21" s="36" t="s">
        <v>0</v>
      </c>
      <c r="E21" s="30" t="s">
        <v>229</v>
      </c>
      <c r="F21" s="71">
        <v>1</v>
      </c>
      <c r="G21" s="72">
        <v>2</v>
      </c>
      <c r="H21" s="73">
        <v>3</v>
      </c>
      <c r="I21" s="74">
        <v>4</v>
      </c>
      <c r="J21" s="75">
        <v>5</v>
      </c>
      <c r="K21" s="76">
        <v>6</v>
      </c>
      <c r="L21" s="77">
        <v>7</v>
      </c>
      <c r="M21" s="78">
        <v>8</v>
      </c>
      <c r="N21" s="79">
        <v>9</v>
      </c>
      <c r="O21" s="80">
        <v>10</v>
      </c>
      <c r="P21" s="32" t="s">
        <v>0</v>
      </c>
      <c r="Q21" s="139"/>
      <c r="R21" s="334"/>
      <c r="S21" s="130"/>
      <c r="T21" s="133">
        <f>VLOOKUP($E21,R.VL_DEQResourcesInvolved,2,FALSE)</f>
        <v>0</v>
      </c>
      <c r="U21" s="121">
        <f>VLOOKUP($E21,R.VL_DEQResourcesInvolved,3,FALSE)</f>
        <v>0</v>
      </c>
      <c r="V21" s="121">
        <f>IF(T21=10,U21,VLOOKUP($E21,R.VL_DEQResourcesInvolved,4,FALSE))</f>
        <v>0</v>
      </c>
      <c r="W21" s="64"/>
      <c r="X21" s="64"/>
      <c r="Y21" s="64"/>
      <c r="Z21" s="64"/>
      <c r="AA21" s="64"/>
      <c r="AB21" s="64"/>
      <c r="AC21" s="64"/>
      <c r="AD21" s="64"/>
      <c r="AE21" s="130"/>
      <c r="AF21" s="130"/>
      <c r="AG21" s="130"/>
      <c r="AH21" s="130"/>
    </row>
    <row r="22" spans="1:34" s="28" customFormat="1" ht="15.75" hidden="1" customHeight="1" outlineLevel="1">
      <c r="A22" s="117"/>
      <c r="B22" s="334"/>
      <c r="C22" s="138"/>
      <c r="D22" s="36" t="s">
        <v>0</v>
      </c>
      <c r="E22" s="30" t="s">
        <v>229</v>
      </c>
      <c r="F22" s="71">
        <v>1</v>
      </c>
      <c r="G22" s="72">
        <v>2</v>
      </c>
      <c r="H22" s="73">
        <v>3</v>
      </c>
      <c r="I22" s="74">
        <v>4</v>
      </c>
      <c r="J22" s="75">
        <v>5</v>
      </c>
      <c r="K22" s="76">
        <v>6</v>
      </c>
      <c r="L22" s="77">
        <v>7</v>
      </c>
      <c r="M22" s="78">
        <v>8</v>
      </c>
      <c r="N22" s="79">
        <v>9</v>
      </c>
      <c r="O22" s="80">
        <v>10</v>
      </c>
      <c r="P22" s="32" t="s">
        <v>0</v>
      </c>
      <c r="Q22" s="139"/>
      <c r="R22" s="334"/>
      <c r="S22" s="130"/>
      <c r="T22" s="133">
        <f>VLOOKUP($E22,R.VL_DEQResourcesInvolved,2,FALSE)</f>
        <v>0</v>
      </c>
      <c r="U22" s="121">
        <f>VLOOKUP($E22,R.VL_DEQResourcesInvolved,3,FALSE)</f>
        <v>0</v>
      </c>
      <c r="V22" s="121">
        <f>IF(T22=10,U22,VLOOKUP($E22,R.VL_DEQResourcesInvolved,4,FALSE))</f>
        <v>0</v>
      </c>
      <c r="W22" s="64"/>
      <c r="X22" s="64"/>
      <c r="Y22" s="64"/>
      <c r="Z22" s="64"/>
      <c r="AA22" s="64"/>
      <c r="AB22" s="64"/>
      <c r="AC22" s="64"/>
      <c r="AD22" s="64"/>
      <c r="AE22" s="130"/>
      <c r="AF22" s="130"/>
      <c r="AG22" s="130"/>
      <c r="AH22" s="130"/>
    </row>
    <row r="23" spans="1:34" s="28" customFormat="1" ht="15.75" hidden="1" customHeight="1" outlineLevel="1">
      <c r="A23" s="117"/>
      <c r="B23" s="334"/>
      <c r="C23" s="138"/>
      <c r="D23" s="36" t="s">
        <v>0</v>
      </c>
      <c r="E23" s="30" t="s">
        <v>229</v>
      </c>
      <c r="F23" s="71">
        <v>1</v>
      </c>
      <c r="G23" s="72">
        <v>2</v>
      </c>
      <c r="H23" s="73">
        <v>3</v>
      </c>
      <c r="I23" s="74">
        <v>4</v>
      </c>
      <c r="J23" s="75">
        <v>5</v>
      </c>
      <c r="K23" s="76">
        <v>6</v>
      </c>
      <c r="L23" s="77">
        <v>7</v>
      </c>
      <c r="M23" s="78">
        <v>8</v>
      </c>
      <c r="N23" s="79">
        <v>9</v>
      </c>
      <c r="O23" s="80">
        <v>10</v>
      </c>
      <c r="P23" s="32" t="s">
        <v>0</v>
      </c>
      <c r="Q23" s="139"/>
      <c r="R23" s="334"/>
      <c r="S23" s="130"/>
      <c r="T23" s="133">
        <f>VLOOKUP($E23,R.VL_DEQResourcesInvolved,2,FALSE)</f>
        <v>0</v>
      </c>
      <c r="U23" s="121">
        <f>VLOOKUP($E23,R.VL_DEQResourcesInvolved,3,FALSE)</f>
        <v>0</v>
      </c>
      <c r="V23" s="121">
        <f>IF(T23=10,U23,VLOOKUP($E23,R.VL_DEQResourcesInvolved,4,FALSE))</f>
        <v>0</v>
      </c>
      <c r="W23" s="64"/>
      <c r="X23" s="64"/>
      <c r="Y23" s="64"/>
      <c r="Z23" s="64"/>
      <c r="AA23" s="64"/>
      <c r="AB23" s="64"/>
      <c r="AC23" s="64"/>
      <c r="AD23" s="64"/>
      <c r="AE23" s="130"/>
      <c r="AF23" s="130"/>
      <c r="AG23" s="130"/>
      <c r="AH23" s="130"/>
    </row>
    <row r="24" spans="1:34" s="28" customFormat="1" ht="14.25" customHeight="1" collapsed="1">
      <c r="A24" s="117"/>
      <c r="B24" s="334"/>
      <c r="C24" s="376"/>
      <c r="D24" s="481"/>
      <c r="E24" s="739"/>
      <c r="F24" s="739"/>
      <c r="G24" s="739"/>
      <c r="H24" s="739"/>
      <c r="I24" s="739"/>
      <c r="J24" s="739"/>
      <c r="K24" s="739"/>
      <c r="L24" s="739"/>
      <c r="M24" s="739"/>
      <c r="N24" s="739"/>
      <c r="O24" s="739"/>
      <c r="P24" s="739"/>
      <c r="Q24" s="379"/>
      <c r="R24" s="334"/>
      <c r="S24" s="130"/>
      <c r="T24" s="132"/>
      <c r="U24" s="131"/>
      <c r="V24" s="131"/>
      <c r="W24" s="64"/>
      <c r="X24" s="64"/>
      <c r="Y24" s="64"/>
      <c r="Z24" s="64"/>
      <c r="AA24" s="64"/>
      <c r="AB24" s="64"/>
      <c r="AC24" s="64"/>
      <c r="AD24" s="64"/>
      <c r="AE24" s="130"/>
      <c r="AF24" s="130"/>
      <c r="AG24" s="130"/>
      <c r="AH24" s="130"/>
    </row>
    <row r="25" spans="1:34" s="33" customFormat="1" ht="30" customHeight="1">
      <c r="A25" s="116"/>
      <c r="B25" s="334"/>
      <c r="C25" s="480" t="s">
        <v>0</v>
      </c>
      <c r="D25" s="529" t="s">
        <v>242</v>
      </c>
      <c r="E25" s="302"/>
      <c r="F25" s="94"/>
      <c r="G25" s="94"/>
      <c r="H25" s="94"/>
      <c r="I25" s="94"/>
      <c r="J25" s="94"/>
      <c r="K25" s="94"/>
      <c r="L25" s="94"/>
      <c r="M25" s="94"/>
      <c r="N25" s="94"/>
      <c r="O25" s="94"/>
      <c r="P25" s="94"/>
      <c r="Q25" s="137"/>
      <c r="R25" s="334"/>
      <c r="S25" s="127"/>
      <c r="T25" s="128"/>
      <c r="U25" s="127"/>
      <c r="V25" s="127"/>
      <c r="W25" s="129"/>
      <c r="X25" s="129"/>
      <c r="Y25" s="129"/>
      <c r="Z25" s="129"/>
      <c r="AA25" s="129"/>
      <c r="AB25" s="129"/>
      <c r="AC25" s="129"/>
      <c r="AD25" s="129"/>
      <c r="AE25" s="127"/>
      <c r="AF25" s="127"/>
      <c r="AG25" s="127"/>
      <c r="AH25" s="127"/>
    </row>
    <row r="26" spans="1:34" s="33" customFormat="1" ht="14.25" customHeight="1">
      <c r="A26" s="116"/>
      <c r="B26" s="334"/>
      <c r="C26" s="232"/>
      <c r="D26" s="443" t="s">
        <v>53</v>
      </c>
      <c r="E26" s="94"/>
      <c r="F26" s="94"/>
      <c r="G26" s="94"/>
      <c r="H26" s="94"/>
      <c r="I26" s="94"/>
      <c r="J26" s="94"/>
      <c r="K26" s="94"/>
      <c r="L26" s="94"/>
      <c r="M26" s="94"/>
      <c r="N26" s="94"/>
      <c r="O26" s="94"/>
      <c r="P26" s="94"/>
      <c r="Q26" s="137"/>
      <c r="R26" s="334"/>
      <c r="S26" s="127"/>
      <c r="T26" s="235"/>
      <c r="U26" s="229"/>
      <c r="V26" s="229"/>
      <c r="W26" s="230"/>
      <c r="X26" s="230"/>
      <c r="Y26" s="230"/>
      <c r="Z26" s="230"/>
      <c r="AA26" s="230"/>
      <c r="AB26" s="230"/>
      <c r="AC26" s="230"/>
      <c r="AD26" s="230"/>
      <c r="AE26" s="127"/>
      <c r="AF26" s="127"/>
      <c r="AG26" s="127"/>
      <c r="AH26" s="127"/>
    </row>
    <row r="27" spans="1:34" s="28" customFormat="1" ht="15.75" customHeight="1">
      <c r="A27" s="117"/>
      <c r="B27" s="334"/>
      <c r="C27" s="138"/>
      <c r="D27" s="719"/>
      <c r="E27" s="720"/>
      <c r="F27" s="720"/>
      <c r="G27" s="720"/>
      <c r="H27" s="720"/>
      <c r="I27" s="720"/>
      <c r="J27" s="720"/>
      <c r="K27" s="720"/>
      <c r="L27" s="720"/>
      <c r="M27" s="720"/>
      <c r="N27" s="720"/>
      <c r="O27" s="720"/>
      <c r="P27" s="721"/>
      <c r="Q27" s="139"/>
      <c r="R27" s="334"/>
      <c r="S27" s="130"/>
      <c r="T27" s="132" t="s">
        <v>0</v>
      </c>
      <c r="U27" s="131"/>
      <c r="V27" s="131"/>
      <c r="W27" s="64"/>
      <c r="X27" s="64"/>
      <c r="Y27" s="64"/>
      <c r="Z27" s="64"/>
      <c r="AA27" s="64"/>
      <c r="AB27" s="64"/>
      <c r="AC27" s="64"/>
      <c r="AD27" s="64"/>
      <c r="AE27" s="130"/>
      <c r="AF27" s="130"/>
      <c r="AG27" s="130"/>
      <c r="AH27" s="130"/>
    </row>
    <row r="28" spans="1:34" s="33" customFormat="1" ht="15.75" customHeight="1">
      <c r="A28" s="116"/>
      <c r="B28" s="334"/>
      <c r="C28" s="232"/>
      <c r="D28" s="442" t="s">
        <v>60</v>
      </c>
      <c r="E28" s="159" t="s">
        <v>18</v>
      </c>
      <c r="F28" s="749" t="s">
        <v>19</v>
      </c>
      <c r="G28" s="749"/>
      <c r="H28" s="749"/>
      <c r="I28" s="749"/>
      <c r="J28" s="749"/>
      <c r="K28" s="749"/>
      <c r="L28" s="749"/>
      <c r="M28" s="749"/>
      <c r="N28" s="749"/>
      <c r="O28" s="749"/>
      <c r="P28" s="159" t="s">
        <v>20</v>
      </c>
      <c r="Q28" s="137"/>
      <c r="R28" s="334"/>
      <c r="S28" s="127"/>
      <c r="T28" s="228"/>
      <c r="U28" s="229"/>
      <c r="V28" s="229"/>
      <c r="W28" s="230"/>
      <c r="X28" s="230"/>
      <c r="Y28" s="230"/>
      <c r="Z28" s="230"/>
      <c r="AA28" s="230"/>
      <c r="AB28" s="230"/>
      <c r="AC28" s="230"/>
      <c r="AD28" s="230"/>
      <c r="AE28" s="127"/>
      <c r="AF28" s="127"/>
      <c r="AG28" s="127"/>
      <c r="AH28" s="127"/>
    </row>
    <row r="29" spans="1:34" s="28" customFormat="1" ht="15.75" customHeight="1">
      <c r="A29" s="117"/>
      <c r="B29" s="334"/>
      <c r="C29" s="138"/>
      <c r="D29" s="36"/>
      <c r="E29" s="30" t="s">
        <v>229</v>
      </c>
      <c r="F29" s="71">
        <v>1</v>
      </c>
      <c r="G29" s="72">
        <v>2</v>
      </c>
      <c r="H29" s="73">
        <v>3</v>
      </c>
      <c r="I29" s="74">
        <v>4</v>
      </c>
      <c r="J29" s="75">
        <v>5</v>
      </c>
      <c r="K29" s="76">
        <v>6</v>
      </c>
      <c r="L29" s="77">
        <v>7</v>
      </c>
      <c r="M29" s="78">
        <v>8</v>
      </c>
      <c r="N29" s="79">
        <v>9</v>
      </c>
      <c r="O29" s="80">
        <v>10</v>
      </c>
      <c r="P29" s="32"/>
      <c r="Q29" s="139"/>
      <c r="R29" s="334"/>
      <c r="S29" s="575" t="s">
        <v>554</v>
      </c>
      <c r="T29" s="133">
        <f>VLOOKUP($E29,R.VL_DEQResourcesInvolved,2,FALSE)</f>
        <v>0</v>
      </c>
      <c r="U29" s="121">
        <f>VLOOKUP($E29,R.VL_DEQResourcesInvolved,3,FALSE)</f>
        <v>0</v>
      </c>
      <c r="V29" s="121">
        <f>IF(T29=10,U29,VLOOKUP($E29,R.VL_DEQResourcesInvolved,4,FALSE))</f>
        <v>0</v>
      </c>
      <c r="W29" s="64"/>
      <c r="X29" s="64"/>
      <c r="Y29" s="64"/>
      <c r="Z29" s="64"/>
      <c r="AA29" s="64"/>
      <c r="AB29" s="64"/>
      <c r="AC29" s="64"/>
      <c r="AD29" s="64"/>
      <c r="AE29" s="130"/>
      <c r="AF29" s="130"/>
      <c r="AG29" s="130"/>
      <c r="AH29" s="130"/>
    </row>
    <row r="30" spans="1:34" s="28" customFormat="1" ht="15.75" hidden="1" customHeight="1" outlineLevel="1">
      <c r="A30" s="117"/>
      <c r="B30" s="334"/>
      <c r="C30" s="138"/>
      <c r="D30" s="36" t="s">
        <v>0</v>
      </c>
      <c r="E30" s="30" t="s">
        <v>229</v>
      </c>
      <c r="F30" s="71">
        <v>1</v>
      </c>
      <c r="G30" s="72">
        <v>2</v>
      </c>
      <c r="H30" s="73">
        <v>3</v>
      </c>
      <c r="I30" s="74">
        <v>4</v>
      </c>
      <c r="J30" s="75">
        <v>5</v>
      </c>
      <c r="K30" s="76">
        <v>6</v>
      </c>
      <c r="L30" s="77">
        <v>7</v>
      </c>
      <c r="M30" s="78">
        <v>8</v>
      </c>
      <c r="N30" s="79">
        <v>9</v>
      </c>
      <c r="O30" s="80">
        <v>10</v>
      </c>
      <c r="P30" s="32" t="s">
        <v>0</v>
      </c>
      <c r="Q30" s="139"/>
      <c r="R30" s="334"/>
      <c r="S30" s="130"/>
      <c r="T30" s="133">
        <f>VLOOKUP($E30,R.VL_DEQResourcesInvolved,2,FALSE)</f>
        <v>0</v>
      </c>
      <c r="U30" s="121">
        <f>VLOOKUP($E30,R.VL_DEQResourcesInvolved,3,FALSE)</f>
        <v>0</v>
      </c>
      <c r="V30" s="121">
        <f>IF(T30=10,U30,VLOOKUP($E30,R.VL_DEQResourcesInvolved,4,FALSE))</f>
        <v>0</v>
      </c>
      <c r="W30" s="64"/>
      <c r="X30" s="64"/>
      <c r="Y30" s="64"/>
      <c r="Z30" s="64"/>
      <c r="AA30" s="64"/>
      <c r="AB30" s="64"/>
      <c r="AC30" s="64"/>
      <c r="AD30" s="64"/>
      <c r="AE30" s="130"/>
      <c r="AF30" s="130"/>
      <c r="AG30" s="130"/>
      <c r="AH30" s="130"/>
    </row>
    <row r="31" spans="1:34" s="28" customFormat="1" ht="15.75" hidden="1" customHeight="1" outlineLevel="1">
      <c r="A31" s="117"/>
      <c r="B31" s="334"/>
      <c r="C31" s="138"/>
      <c r="D31" s="36" t="s">
        <v>0</v>
      </c>
      <c r="E31" s="30" t="s">
        <v>229</v>
      </c>
      <c r="F31" s="71">
        <v>1</v>
      </c>
      <c r="G31" s="72">
        <v>2</v>
      </c>
      <c r="H31" s="73">
        <v>3</v>
      </c>
      <c r="I31" s="74">
        <v>4</v>
      </c>
      <c r="J31" s="75">
        <v>5</v>
      </c>
      <c r="K31" s="76">
        <v>6</v>
      </c>
      <c r="L31" s="77">
        <v>7</v>
      </c>
      <c r="M31" s="78">
        <v>8</v>
      </c>
      <c r="N31" s="79">
        <v>9</v>
      </c>
      <c r="O31" s="80">
        <v>10</v>
      </c>
      <c r="P31" s="32" t="s">
        <v>0</v>
      </c>
      <c r="Q31" s="139"/>
      <c r="R31" s="334"/>
      <c r="S31" s="130"/>
      <c r="T31" s="133">
        <f>VLOOKUP($E31,R.VL_DEQResourcesInvolved,2,FALSE)</f>
        <v>0</v>
      </c>
      <c r="U31" s="121">
        <f>VLOOKUP($E31,R.VL_DEQResourcesInvolved,3,FALSE)</f>
        <v>0</v>
      </c>
      <c r="V31" s="121">
        <f>IF(T31=10,U31,VLOOKUP($E31,R.VL_DEQResourcesInvolved,4,FALSE))</f>
        <v>0</v>
      </c>
      <c r="W31" s="64"/>
      <c r="X31" s="64"/>
      <c r="Y31" s="64"/>
      <c r="Z31" s="64"/>
      <c r="AA31" s="64"/>
      <c r="AB31" s="64"/>
      <c r="AC31" s="64"/>
      <c r="AD31" s="64"/>
      <c r="AE31" s="130"/>
      <c r="AF31" s="130"/>
      <c r="AG31" s="130"/>
      <c r="AH31" s="130"/>
    </row>
    <row r="32" spans="1:34" s="28" customFormat="1" ht="15.75" hidden="1" customHeight="1" outlineLevel="1">
      <c r="A32" s="117"/>
      <c r="B32" s="334"/>
      <c r="C32" s="138"/>
      <c r="D32" s="36" t="s">
        <v>0</v>
      </c>
      <c r="E32" s="30" t="s">
        <v>229</v>
      </c>
      <c r="F32" s="71">
        <v>1</v>
      </c>
      <c r="G32" s="72">
        <v>2</v>
      </c>
      <c r="H32" s="73">
        <v>3</v>
      </c>
      <c r="I32" s="74">
        <v>4</v>
      </c>
      <c r="J32" s="75">
        <v>5</v>
      </c>
      <c r="K32" s="76">
        <v>6</v>
      </c>
      <c r="L32" s="77">
        <v>7</v>
      </c>
      <c r="M32" s="78">
        <v>8</v>
      </c>
      <c r="N32" s="79">
        <v>9</v>
      </c>
      <c r="O32" s="80">
        <v>10</v>
      </c>
      <c r="P32" s="32" t="s">
        <v>0</v>
      </c>
      <c r="Q32" s="139"/>
      <c r="R32" s="334"/>
      <c r="S32" s="130"/>
      <c r="T32" s="133">
        <f>VLOOKUP($E32,R.VL_DEQResourcesInvolved,2,FALSE)</f>
        <v>0</v>
      </c>
      <c r="U32" s="121">
        <f>VLOOKUP($E32,R.VL_DEQResourcesInvolved,3,FALSE)</f>
        <v>0</v>
      </c>
      <c r="V32" s="121">
        <f>IF(T32=10,U32,VLOOKUP($E32,R.VL_DEQResourcesInvolved,4,FALSE))</f>
        <v>0</v>
      </c>
      <c r="W32" s="64"/>
      <c r="X32" s="108" t="s">
        <v>0</v>
      </c>
      <c r="Y32" s="64"/>
      <c r="Z32" s="64"/>
      <c r="AA32" s="64"/>
      <c r="AB32" s="64"/>
      <c r="AC32" s="64"/>
      <c r="AD32" s="64"/>
      <c r="AE32" s="130"/>
      <c r="AF32" s="130"/>
      <c r="AG32" s="130"/>
      <c r="AH32" s="130"/>
    </row>
    <row r="33" spans="1:34" s="28" customFormat="1" ht="15.75" customHeight="1" collapsed="1">
      <c r="A33" s="117"/>
      <c r="B33" s="334"/>
      <c r="C33" s="245"/>
      <c r="D33" s="443" t="s">
        <v>52</v>
      </c>
      <c r="E33" s="31"/>
      <c r="F33" s="31"/>
      <c r="G33" s="31"/>
      <c r="H33" s="31"/>
      <c r="I33" s="31"/>
      <c r="J33" s="31"/>
      <c r="K33" s="31"/>
      <c r="L33" s="31"/>
      <c r="M33" s="31"/>
      <c r="N33" s="31"/>
      <c r="O33" s="31"/>
      <c r="P33" s="31"/>
      <c r="Q33" s="143"/>
      <c r="R33" s="334"/>
      <c r="S33" s="130"/>
      <c r="T33" s="228"/>
      <c r="U33" s="229"/>
      <c r="V33" s="229"/>
      <c r="W33" s="236"/>
      <c r="X33" s="108" t="s">
        <v>0</v>
      </c>
      <c r="Y33" s="236"/>
      <c r="Z33" s="236"/>
      <c r="AA33" s="236"/>
      <c r="AB33" s="236"/>
      <c r="AC33" s="236"/>
      <c r="AD33" s="236"/>
      <c r="AE33" s="130"/>
      <c r="AF33" s="130"/>
      <c r="AG33" s="130"/>
      <c r="AH33" s="130"/>
    </row>
    <row r="34" spans="1:34" s="28" customFormat="1" ht="15.75" customHeight="1">
      <c r="A34" s="117"/>
      <c r="B34" s="334"/>
      <c r="C34" s="138"/>
      <c r="D34" s="724"/>
      <c r="E34" s="725"/>
      <c r="F34" s="725"/>
      <c r="G34" s="725"/>
      <c r="H34" s="725"/>
      <c r="I34" s="725"/>
      <c r="J34" s="725"/>
      <c r="K34" s="725"/>
      <c r="L34" s="725"/>
      <c r="M34" s="725"/>
      <c r="N34" s="725"/>
      <c r="O34" s="725"/>
      <c r="P34" s="726"/>
      <c r="Q34" s="139"/>
      <c r="R34" s="334"/>
      <c r="S34" s="130"/>
      <c r="T34" s="132" t="s">
        <v>0</v>
      </c>
      <c r="U34" s="131"/>
      <c r="V34" s="131"/>
      <c r="W34" s="64"/>
      <c r="X34" s="108" t="s">
        <v>0</v>
      </c>
      <c r="Y34" s="64"/>
      <c r="Z34" s="64"/>
      <c r="AA34" s="64"/>
      <c r="AB34" s="64"/>
      <c r="AC34" s="64"/>
      <c r="AD34" s="64"/>
      <c r="AE34" s="130"/>
      <c r="AF34" s="130"/>
      <c r="AG34" s="130"/>
      <c r="AH34" s="130"/>
    </row>
    <row r="35" spans="1:34" s="33" customFormat="1" ht="15.75" customHeight="1">
      <c r="A35" s="116"/>
      <c r="B35" s="334"/>
      <c r="C35" s="232"/>
      <c r="D35" s="442" t="s">
        <v>60</v>
      </c>
      <c r="E35" s="159" t="s">
        <v>18</v>
      </c>
      <c r="F35" s="749" t="s">
        <v>19</v>
      </c>
      <c r="G35" s="749"/>
      <c r="H35" s="749"/>
      <c r="I35" s="749"/>
      <c r="J35" s="749"/>
      <c r="K35" s="749"/>
      <c r="L35" s="749"/>
      <c r="M35" s="749"/>
      <c r="N35" s="749"/>
      <c r="O35" s="749"/>
      <c r="P35" s="159" t="s">
        <v>20</v>
      </c>
      <c r="Q35" s="137"/>
      <c r="R35" s="334"/>
      <c r="S35" s="127"/>
      <c r="T35" s="228"/>
      <c r="U35" s="229"/>
      <c r="V35" s="229"/>
      <c r="W35" s="230"/>
      <c r="X35" s="108" t="s">
        <v>0</v>
      </c>
      <c r="Y35" s="230"/>
      <c r="Z35" s="230"/>
      <c r="AA35" s="230"/>
      <c r="AB35" s="230"/>
      <c r="AC35" s="230"/>
      <c r="AD35" s="230"/>
      <c r="AE35" s="127"/>
      <c r="AF35" s="127"/>
      <c r="AG35" s="127"/>
      <c r="AH35" s="127"/>
    </row>
    <row r="36" spans="1:34" s="28" customFormat="1" ht="15.75" customHeight="1">
      <c r="A36" s="117"/>
      <c r="B36" s="334"/>
      <c r="C36" s="138"/>
      <c r="D36" s="36"/>
      <c r="E36" s="30" t="s">
        <v>229</v>
      </c>
      <c r="F36" s="71">
        <v>1</v>
      </c>
      <c r="G36" s="72">
        <v>2</v>
      </c>
      <c r="H36" s="73">
        <v>3</v>
      </c>
      <c r="I36" s="74">
        <v>4</v>
      </c>
      <c r="J36" s="75">
        <v>5</v>
      </c>
      <c r="K36" s="76">
        <v>6</v>
      </c>
      <c r="L36" s="77">
        <v>7</v>
      </c>
      <c r="M36" s="78">
        <v>8</v>
      </c>
      <c r="N36" s="79">
        <v>9</v>
      </c>
      <c r="O36" s="80">
        <v>10</v>
      </c>
      <c r="P36" s="32"/>
      <c r="Q36" s="139"/>
      <c r="R36" s="334"/>
      <c r="S36" s="575" t="s">
        <v>554</v>
      </c>
      <c r="T36" s="133">
        <f>VLOOKUP($E36,R.VL_DEQResourcesInvolved,2,FALSE)</f>
        <v>0</v>
      </c>
      <c r="U36" s="121">
        <f>VLOOKUP($E36,R.VL_DEQResourcesInvolved,3,FALSE)</f>
        <v>0</v>
      </c>
      <c r="V36" s="121">
        <f>IF(T36=10,U36,VLOOKUP($E36,R.VL_DEQResourcesInvolved,4,FALSE))</f>
        <v>0</v>
      </c>
      <c r="W36" s="64"/>
      <c r="X36" s="64"/>
      <c r="Y36" s="64"/>
      <c r="Z36" s="64"/>
      <c r="AA36" s="64"/>
      <c r="AB36" s="64"/>
      <c r="AC36" s="64"/>
      <c r="AD36" s="64"/>
      <c r="AE36" s="130"/>
      <c r="AF36" s="130"/>
      <c r="AG36" s="130"/>
      <c r="AH36" s="130"/>
    </row>
    <row r="37" spans="1:34" s="28" customFormat="1" ht="15.75" hidden="1" customHeight="1" outlineLevel="1">
      <c r="A37" s="117"/>
      <c r="B37" s="334"/>
      <c r="C37" s="138"/>
      <c r="D37" s="36" t="s">
        <v>0</v>
      </c>
      <c r="E37" s="30" t="s">
        <v>229</v>
      </c>
      <c r="F37" s="71">
        <v>1</v>
      </c>
      <c r="G37" s="72">
        <v>2</v>
      </c>
      <c r="H37" s="73">
        <v>3</v>
      </c>
      <c r="I37" s="74">
        <v>4</v>
      </c>
      <c r="J37" s="75">
        <v>5</v>
      </c>
      <c r="K37" s="76">
        <v>6</v>
      </c>
      <c r="L37" s="77">
        <v>7</v>
      </c>
      <c r="M37" s="78">
        <v>8</v>
      </c>
      <c r="N37" s="79">
        <v>9</v>
      </c>
      <c r="O37" s="80">
        <v>10</v>
      </c>
      <c r="P37" s="32" t="s">
        <v>0</v>
      </c>
      <c r="Q37" s="139"/>
      <c r="R37" s="334"/>
      <c r="S37" s="130"/>
      <c r="T37" s="133">
        <f>VLOOKUP($E37,R.VL_DEQResourcesInvolved,2,FALSE)</f>
        <v>0</v>
      </c>
      <c r="U37" s="121">
        <f>VLOOKUP($E37,R.VL_DEQResourcesInvolved,3,FALSE)</f>
        <v>0</v>
      </c>
      <c r="V37" s="121">
        <f>IF(T37=10,U37,VLOOKUP($E37,R.VL_DEQResourcesInvolved,4,FALSE))</f>
        <v>0</v>
      </c>
      <c r="W37" s="64"/>
      <c r="X37" s="64"/>
      <c r="Y37" s="64"/>
      <c r="Z37" s="64"/>
      <c r="AA37" s="64"/>
      <c r="AB37" s="64"/>
      <c r="AC37" s="64"/>
      <c r="AD37" s="64"/>
      <c r="AE37" s="130"/>
      <c r="AF37" s="130"/>
      <c r="AG37" s="130"/>
      <c r="AH37" s="130"/>
    </row>
    <row r="38" spans="1:34" s="28" customFormat="1" ht="15.75" hidden="1" customHeight="1" outlineLevel="1">
      <c r="A38" s="117"/>
      <c r="B38" s="334"/>
      <c r="C38" s="138"/>
      <c r="D38" s="36" t="s">
        <v>0</v>
      </c>
      <c r="E38" s="30" t="s">
        <v>229</v>
      </c>
      <c r="F38" s="71">
        <v>1</v>
      </c>
      <c r="G38" s="72">
        <v>2</v>
      </c>
      <c r="H38" s="73">
        <v>3</v>
      </c>
      <c r="I38" s="74">
        <v>4</v>
      </c>
      <c r="J38" s="75">
        <v>5</v>
      </c>
      <c r="K38" s="76">
        <v>6</v>
      </c>
      <c r="L38" s="77">
        <v>7</v>
      </c>
      <c r="M38" s="78">
        <v>8</v>
      </c>
      <c r="N38" s="79">
        <v>9</v>
      </c>
      <c r="O38" s="80">
        <v>10</v>
      </c>
      <c r="P38" s="32" t="s">
        <v>0</v>
      </c>
      <c r="Q38" s="139"/>
      <c r="R38" s="334"/>
      <c r="S38" s="130"/>
      <c r="T38" s="133">
        <f>VLOOKUP($E38,R.VL_DEQResourcesInvolved,2,FALSE)</f>
        <v>0</v>
      </c>
      <c r="U38" s="121">
        <f>VLOOKUP($E38,R.VL_DEQResourcesInvolved,3,FALSE)</f>
        <v>0</v>
      </c>
      <c r="V38" s="121">
        <f>IF(T38=10,U38,VLOOKUP($E38,R.VL_DEQResourcesInvolved,4,FALSE))</f>
        <v>0</v>
      </c>
      <c r="W38" s="64"/>
      <c r="X38" s="64"/>
      <c r="Y38" s="64"/>
      <c r="Z38" s="64"/>
      <c r="AA38" s="64"/>
      <c r="AB38" s="64"/>
      <c r="AC38" s="64"/>
      <c r="AD38" s="64"/>
      <c r="AE38" s="130"/>
      <c r="AF38" s="130"/>
      <c r="AG38" s="130"/>
      <c r="AH38" s="130"/>
    </row>
    <row r="39" spans="1:34" s="28" customFormat="1" ht="15.75" hidden="1" customHeight="1" outlineLevel="1">
      <c r="A39" s="117"/>
      <c r="B39" s="334"/>
      <c r="C39" s="138"/>
      <c r="D39" s="36" t="s">
        <v>0</v>
      </c>
      <c r="E39" s="30" t="s">
        <v>229</v>
      </c>
      <c r="F39" s="71">
        <v>1</v>
      </c>
      <c r="G39" s="72">
        <v>2</v>
      </c>
      <c r="H39" s="73">
        <v>3</v>
      </c>
      <c r="I39" s="74">
        <v>4</v>
      </c>
      <c r="J39" s="75">
        <v>5</v>
      </c>
      <c r="K39" s="76">
        <v>6</v>
      </c>
      <c r="L39" s="77">
        <v>7</v>
      </c>
      <c r="M39" s="78">
        <v>8</v>
      </c>
      <c r="N39" s="79">
        <v>9</v>
      </c>
      <c r="O39" s="80">
        <v>10</v>
      </c>
      <c r="P39" s="32" t="s">
        <v>0</v>
      </c>
      <c r="Q39" s="139"/>
      <c r="R39" s="334"/>
      <c r="S39" s="130"/>
      <c r="T39" s="133">
        <f>VLOOKUP($E39,R.VL_DEQResourcesInvolved,2,FALSE)</f>
        <v>0</v>
      </c>
      <c r="U39" s="121">
        <f>VLOOKUP($E39,R.VL_DEQResourcesInvolved,3,FALSE)</f>
        <v>0</v>
      </c>
      <c r="V39" s="121">
        <f>IF(T39=10,U39,VLOOKUP($E39,R.VL_DEQResourcesInvolved,4,FALSE))</f>
        <v>0</v>
      </c>
      <c r="W39" s="64"/>
      <c r="X39" s="64"/>
      <c r="Y39" s="64"/>
      <c r="Z39" s="64"/>
      <c r="AA39" s="64"/>
      <c r="AB39" s="64"/>
      <c r="AC39" s="64"/>
      <c r="AD39" s="64"/>
      <c r="AE39" s="130"/>
      <c r="AF39" s="130"/>
      <c r="AG39" s="130"/>
      <c r="AH39" s="130"/>
    </row>
    <row r="40" spans="1:34" s="28" customFormat="1" ht="14.25" customHeight="1" collapsed="1">
      <c r="A40" s="117"/>
      <c r="B40" s="334"/>
      <c r="C40" s="376"/>
      <c r="D40" s="481"/>
      <c r="E40" s="739"/>
      <c r="F40" s="739"/>
      <c r="G40" s="739"/>
      <c r="H40" s="739"/>
      <c r="I40" s="739"/>
      <c r="J40" s="739"/>
      <c r="K40" s="739"/>
      <c r="L40" s="739"/>
      <c r="M40" s="739"/>
      <c r="N40" s="739"/>
      <c r="O40" s="739"/>
      <c r="P40" s="739"/>
      <c r="Q40" s="379"/>
      <c r="R40" s="334"/>
      <c r="S40" s="130"/>
      <c r="T40" s="132"/>
      <c r="U40" s="131"/>
      <c r="V40" s="131"/>
      <c r="W40" s="64"/>
      <c r="X40" s="64"/>
      <c r="Y40" s="64"/>
      <c r="Z40" s="64"/>
      <c r="AA40" s="64"/>
      <c r="AB40" s="64"/>
      <c r="AC40" s="64"/>
      <c r="AD40" s="64"/>
      <c r="AE40" s="130"/>
      <c r="AF40" s="130"/>
      <c r="AG40" s="130"/>
      <c r="AH40" s="130"/>
    </row>
    <row r="41" spans="1:34" s="33" customFormat="1" ht="30" customHeight="1">
      <c r="A41" s="116"/>
      <c r="B41" s="334"/>
      <c r="C41" s="483" t="s">
        <v>0</v>
      </c>
      <c r="D41" s="529" t="s">
        <v>243</v>
      </c>
      <c r="E41" s="382"/>
      <c r="F41" s="382"/>
      <c r="G41" s="382"/>
      <c r="H41" s="382"/>
      <c r="I41" s="382"/>
      <c r="J41" s="382"/>
      <c r="K41" s="382"/>
      <c r="L41" s="382"/>
      <c r="M41" s="382"/>
      <c r="N41" s="382"/>
      <c r="O41" s="382"/>
      <c r="P41" s="382"/>
      <c r="Q41" s="384"/>
      <c r="R41" s="334"/>
      <c r="S41" s="127"/>
      <c r="T41" s="128"/>
      <c r="U41" s="127"/>
      <c r="V41" s="127"/>
      <c r="W41" s="129"/>
      <c r="X41" s="129"/>
      <c r="Y41" s="129"/>
      <c r="Z41" s="129"/>
      <c r="AA41" s="129"/>
      <c r="AB41" s="129"/>
      <c r="AC41" s="129"/>
      <c r="AD41" s="129"/>
      <c r="AE41" s="127"/>
      <c r="AF41" s="127"/>
      <c r="AG41" s="127"/>
      <c r="AH41" s="127"/>
    </row>
    <row r="42" spans="1:34" s="33" customFormat="1" ht="14.25" customHeight="1">
      <c r="A42" s="116"/>
      <c r="B42" s="334"/>
      <c r="C42" s="210"/>
      <c r="D42" s="443" t="s">
        <v>53</v>
      </c>
      <c r="E42" s="486"/>
      <c r="F42" s="486"/>
      <c r="G42" s="486"/>
      <c r="H42" s="486"/>
      <c r="I42" s="486"/>
      <c r="J42" s="486"/>
      <c r="K42" s="486"/>
      <c r="L42" s="486"/>
      <c r="M42" s="486"/>
      <c r="N42" s="486"/>
      <c r="O42" s="486"/>
      <c r="P42" s="486"/>
      <c r="Q42" s="211"/>
      <c r="R42" s="334"/>
      <c r="S42" s="127"/>
      <c r="T42" s="235"/>
      <c r="U42" s="229"/>
      <c r="V42" s="229"/>
      <c r="W42" s="230"/>
      <c r="X42" s="230"/>
      <c r="Y42" s="230"/>
      <c r="Z42" s="230"/>
      <c r="AA42" s="230"/>
      <c r="AB42" s="230"/>
      <c r="AC42" s="230"/>
      <c r="AD42" s="230"/>
      <c r="AE42" s="127"/>
      <c r="AF42" s="127"/>
      <c r="AG42" s="127"/>
      <c r="AH42" s="127"/>
    </row>
    <row r="43" spans="1:34" s="28" customFormat="1" ht="15.75" customHeight="1">
      <c r="A43" s="117"/>
      <c r="B43" s="334"/>
      <c r="C43" s="138"/>
      <c r="D43" s="719"/>
      <c r="E43" s="720"/>
      <c r="F43" s="720"/>
      <c r="G43" s="720"/>
      <c r="H43" s="720"/>
      <c r="I43" s="720"/>
      <c r="J43" s="720"/>
      <c r="K43" s="720"/>
      <c r="L43" s="720"/>
      <c r="M43" s="720"/>
      <c r="N43" s="720"/>
      <c r="O43" s="720"/>
      <c r="P43" s="721"/>
      <c r="Q43" s="139"/>
      <c r="R43" s="334"/>
      <c r="S43" s="130"/>
      <c r="T43" s="132" t="s">
        <v>0</v>
      </c>
      <c r="U43" s="131"/>
      <c r="V43" s="131"/>
      <c r="W43" s="64"/>
      <c r="X43" s="64"/>
      <c r="Y43" s="64"/>
      <c r="Z43" s="64"/>
      <c r="AA43" s="64"/>
      <c r="AB43" s="64"/>
      <c r="AC43" s="64"/>
      <c r="AD43" s="64"/>
      <c r="AE43" s="130"/>
      <c r="AF43" s="130"/>
      <c r="AG43" s="130"/>
      <c r="AH43" s="130"/>
    </row>
    <row r="44" spans="1:34" s="33" customFormat="1" ht="15.75" customHeight="1">
      <c r="A44" s="116"/>
      <c r="B44" s="334"/>
      <c r="C44" s="259"/>
      <c r="D44" s="497" t="s">
        <v>60</v>
      </c>
      <c r="E44" s="393" t="s">
        <v>18</v>
      </c>
      <c r="F44" s="733" t="s">
        <v>19</v>
      </c>
      <c r="G44" s="733"/>
      <c r="H44" s="733"/>
      <c r="I44" s="733"/>
      <c r="J44" s="733"/>
      <c r="K44" s="733"/>
      <c r="L44" s="733"/>
      <c r="M44" s="733"/>
      <c r="N44" s="733"/>
      <c r="O44" s="733"/>
      <c r="P44" s="393" t="s">
        <v>20</v>
      </c>
      <c r="Q44" s="211"/>
      <c r="R44" s="334"/>
      <c r="S44" s="127"/>
      <c r="T44" s="228"/>
      <c r="U44" s="229"/>
      <c r="V44" s="229"/>
      <c r="W44" s="230"/>
      <c r="X44" s="230"/>
      <c r="Y44" s="230"/>
      <c r="Z44" s="230"/>
      <c r="AA44" s="230"/>
      <c r="AB44" s="230"/>
      <c r="AC44" s="230"/>
      <c r="AD44" s="230"/>
      <c r="AE44" s="127"/>
      <c r="AF44" s="127"/>
      <c r="AG44" s="127"/>
      <c r="AH44" s="127"/>
    </row>
    <row r="45" spans="1:34" s="28" customFormat="1" ht="15.75" customHeight="1">
      <c r="A45" s="117"/>
      <c r="B45" s="334"/>
      <c r="C45" s="138"/>
      <c r="D45" s="36" t="s">
        <v>0</v>
      </c>
      <c r="E45" s="30" t="s">
        <v>229</v>
      </c>
      <c r="F45" s="71">
        <v>1</v>
      </c>
      <c r="G45" s="72">
        <v>2</v>
      </c>
      <c r="H45" s="73">
        <v>3</v>
      </c>
      <c r="I45" s="74">
        <v>4</v>
      </c>
      <c r="J45" s="75">
        <v>5</v>
      </c>
      <c r="K45" s="76">
        <v>6</v>
      </c>
      <c r="L45" s="77">
        <v>7</v>
      </c>
      <c r="M45" s="78">
        <v>8</v>
      </c>
      <c r="N45" s="79">
        <v>9</v>
      </c>
      <c r="O45" s="80">
        <v>10</v>
      </c>
      <c r="P45" s="32" t="s">
        <v>0</v>
      </c>
      <c r="Q45" s="139"/>
      <c r="R45" s="334"/>
      <c r="S45" s="575" t="s">
        <v>554</v>
      </c>
      <c r="T45" s="133">
        <f>VLOOKUP($E45,R.VL_DEQResourcesInvolved,2,FALSE)</f>
        <v>0</v>
      </c>
      <c r="U45" s="121">
        <f>VLOOKUP($E45,R.VL_DEQResourcesInvolved,3,FALSE)</f>
        <v>0</v>
      </c>
      <c r="V45" s="121">
        <f>IF(T45=10,U45,VLOOKUP($E45,R.VL_DEQResourcesInvolved,4,FALSE))</f>
        <v>0</v>
      </c>
      <c r="W45" s="64"/>
      <c r="X45" s="64"/>
      <c r="Y45" s="64"/>
      <c r="Z45" s="64"/>
      <c r="AA45" s="64"/>
      <c r="AB45" s="64"/>
      <c r="AC45" s="64"/>
      <c r="AD45" s="64"/>
      <c r="AE45" s="130"/>
      <c r="AF45" s="130"/>
      <c r="AG45" s="130"/>
      <c r="AH45" s="130"/>
    </row>
    <row r="46" spans="1:34" s="28" customFormat="1" ht="15.75" hidden="1" customHeight="1" outlineLevel="1">
      <c r="A46" s="117"/>
      <c r="B46" s="334"/>
      <c r="C46" s="138"/>
      <c r="D46" s="36" t="s">
        <v>0</v>
      </c>
      <c r="E46" s="30" t="s">
        <v>229</v>
      </c>
      <c r="F46" s="71">
        <v>1</v>
      </c>
      <c r="G46" s="72">
        <v>2</v>
      </c>
      <c r="H46" s="73">
        <v>3</v>
      </c>
      <c r="I46" s="74">
        <v>4</v>
      </c>
      <c r="J46" s="75">
        <v>5</v>
      </c>
      <c r="K46" s="76">
        <v>6</v>
      </c>
      <c r="L46" s="77">
        <v>7</v>
      </c>
      <c r="M46" s="78">
        <v>8</v>
      </c>
      <c r="N46" s="79">
        <v>9</v>
      </c>
      <c r="O46" s="80">
        <v>10</v>
      </c>
      <c r="P46" s="32" t="s">
        <v>0</v>
      </c>
      <c r="Q46" s="139"/>
      <c r="R46" s="334"/>
      <c r="S46" s="130"/>
      <c r="T46" s="133">
        <f>VLOOKUP($E46,R.VL_DEQResourcesInvolved,2,FALSE)</f>
        <v>0</v>
      </c>
      <c r="U46" s="121">
        <f>VLOOKUP($E46,R.VL_DEQResourcesInvolved,3,FALSE)</f>
        <v>0</v>
      </c>
      <c r="V46" s="121">
        <f>IF(T46=10,U46,VLOOKUP($E46,R.VL_DEQResourcesInvolved,4,FALSE))</f>
        <v>0</v>
      </c>
      <c r="W46" s="64"/>
      <c r="X46" s="64"/>
      <c r="Y46" s="64"/>
      <c r="Z46" s="64"/>
      <c r="AA46" s="64"/>
      <c r="AB46" s="64"/>
      <c r="AC46" s="64"/>
      <c r="AD46" s="64"/>
      <c r="AE46" s="130"/>
      <c r="AF46" s="130"/>
      <c r="AG46" s="130"/>
      <c r="AH46" s="130"/>
    </row>
    <row r="47" spans="1:34" s="28" customFormat="1" ht="15.75" hidden="1" customHeight="1" outlineLevel="1">
      <c r="A47" s="117"/>
      <c r="B47" s="334"/>
      <c r="C47" s="138"/>
      <c r="D47" s="36" t="s">
        <v>0</v>
      </c>
      <c r="E47" s="30" t="s">
        <v>229</v>
      </c>
      <c r="F47" s="71">
        <v>1</v>
      </c>
      <c r="G47" s="72">
        <v>2</v>
      </c>
      <c r="H47" s="73">
        <v>3</v>
      </c>
      <c r="I47" s="74">
        <v>4</v>
      </c>
      <c r="J47" s="75">
        <v>5</v>
      </c>
      <c r="K47" s="76">
        <v>6</v>
      </c>
      <c r="L47" s="77">
        <v>7</v>
      </c>
      <c r="M47" s="78">
        <v>8</v>
      </c>
      <c r="N47" s="79">
        <v>9</v>
      </c>
      <c r="O47" s="80">
        <v>10</v>
      </c>
      <c r="P47" s="32" t="s">
        <v>0</v>
      </c>
      <c r="Q47" s="139"/>
      <c r="R47" s="334"/>
      <c r="S47" s="130"/>
      <c r="T47" s="133">
        <f>VLOOKUP($E47,R.VL_DEQResourcesInvolved,2,FALSE)</f>
        <v>0</v>
      </c>
      <c r="U47" s="121">
        <f>VLOOKUP($E47,R.VL_DEQResourcesInvolved,3,FALSE)</f>
        <v>0</v>
      </c>
      <c r="V47" s="121">
        <f>IF(T47=10,U47,VLOOKUP($E47,R.VL_DEQResourcesInvolved,4,FALSE))</f>
        <v>0</v>
      </c>
      <c r="W47" s="64"/>
      <c r="X47" s="64"/>
      <c r="Y47" s="64"/>
      <c r="Z47" s="64"/>
      <c r="AA47" s="64"/>
      <c r="AB47" s="64"/>
      <c r="AC47" s="64"/>
      <c r="AD47" s="64"/>
      <c r="AE47" s="130"/>
      <c r="AF47" s="130"/>
      <c r="AG47" s="130"/>
      <c r="AH47" s="130"/>
    </row>
    <row r="48" spans="1:34" s="28" customFormat="1" ht="15.75" hidden="1" customHeight="1" outlineLevel="1">
      <c r="A48" s="117"/>
      <c r="B48" s="334"/>
      <c r="C48" s="138"/>
      <c r="D48" s="36" t="s">
        <v>0</v>
      </c>
      <c r="E48" s="30" t="s">
        <v>229</v>
      </c>
      <c r="F48" s="71">
        <v>1</v>
      </c>
      <c r="G48" s="72">
        <v>2</v>
      </c>
      <c r="H48" s="73">
        <v>3</v>
      </c>
      <c r="I48" s="74">
        <v>4</v>
      </c>
      <c r="J48" s="75">
        <v>5</v>
      </c>
      <c r="K48" s="76">
        <v>6</v>
      </c>
      <c r="L48" s="77">
        <v>7</v>
      </c>
      <c r="M48" s="78">
        <v>8</v>
      </c>
      <c r="N48" s="79">
        <v>9</v>
      </c>
      <c r="O48" s="80">
        <v>10</v>
      </c>
      <c r="P48" s="32" t="s">
        <v>0</v>
      </c>
      <c r="Q48" s="139"/>
      <c r="R48" s="334"/>
      <c r="S48" s="130"/>
      <c r="T48" s="133">
        <f>VLOOKUP($E48,R.VL_DEQResourcesInvolved,2,FALSE)</f>
        <v>0</v>
      </c>
      <c r="U48" s="121">
        <f>VLOOKUP($E48,R.VL_DEQResourcesInvolved,3,FALSE)</f>
        <v>0</v>
      </c>
      <c r="V48" s="121">
        <f>IF(T48=10,U48,VLOOKUP($E48,R.VL_DEQResourcesInvolved,4,FALSE))</f>
        <v>0</v>
      </c>
      <c r="W48" s="64"/>
      <c r="X48" s="64"/>
      <c r="Y48" s="64"/>
      <c r="Z48" s="64"/>
      <c r="AA48" s="64"/>
      <c r="AB48" s="64"/>
      <c r="AC48" s="64"/>
      <c r="AD48" s="64"/>
      <c r="AE48" s="130"/>
      <c r="AF48" s="130"/>
      <c r="AG48" s="130"/>
      <c r="AH48" s="130"/>
    </row>
    <row r="49" spans="1:34" s="28" customFormat="1" ht="15.75" customHeight="1" collapsed="1">
      <c r="A49" s="117"/>
      <c r="B49" s="334"/>
      <c r="C49" s="487"/>
      <c r="D49" s="442" t="s">
        <v>52</v>
      </c>
      <c r="E49" s="488"/>
      <c r="F49" s="488"/>
      <c r="G49" s="488"/>
      <c r="H49" s="488"/>
      <c r="I49" s="488"/>
      <c r="J49" s="488"/>
      <c r="K49" s="488"/>
      <c r="L49" s="488"/>
      <c r="M49" s="488"/>
      <c r="N49" s="488"/>
      <c r="O49" s="488"/>
      <c r="P49" s="488"/>
      <c r="Q49" s="489"/>
      <c r="R49" s="334"/>
      <c r="S49" s="130"/>
      <c r="T49" s="228"/>
      <c r="U49" s="229"/>
      <c r="V49" s="229"/>
      <c r="W49" s="236"/>
      <c r="X49" s="236"/>
      <c r="Y49" s="236"/>
      <c r="Z49" s="236"/>
      <c r="AA49" s="236"/>
      <c r="AB49" s="236"/>
      <c r="AC49" s="236"/>
      <c r="AD49" s="236"/>
      <c r="AE49" s="130"/>
      <c r="AF49" s="130"/>
      <c r="AG49" s="130"/>
      <c r="AH49" s="130"/>
    </row>
    <row r="50" spans="1:34" s="28" customFormat="1" ht="15.75" customHeight="1">
      <c r="A50" s="117"/>
      <c r="B50" s="334"/>
      <c r="C50" s="138"/>
      <c r="D50" s="734"/>
      <c r="E50" s="735"/>
      <c r="F50" s="735"/>
      <c r="G50" s="735"/>
      <c r="H50" s="735"/>
      <c r="I50" s="735"/>
      <c r="J50" s="735"/>
      <c r="K50" s="735"/>
      <c r="L50" s="735"/>
      <c r="M50" s="735"/>
      <c r="N50" s="735"/>
      <c r="O50" s="735"/>
      <c r="P50" s="736"/>
      <c r="Q50" s="139"/>
      <c r="R50" s="334"/>
      <c r="S50" s="130"/>
      <c r="T50" s="132" t="s">
        <v>0</v>
      </c>
      <c r="U50" s="131"/>
      <c r="V50" s="131"/>
      <c r="W50" s="64"/>
      <c r="X50" s="64"/>
      <c r="Y50" s="64"/>
      <c r="Z50" s="64"/>
      <c r="AA50" s="64"/>
      <c r="AB50" s="64"/>
      <c r="AC50" s="64"/>
      <c r="AD50" s="64"/>
      <c r="AE50" s="130"/>
      <c r="AF50" s="130"/>
      <c r="AG50" s="130"/>
      <c r="AH50" s="130"/>
    </row>
    <row r="51" spans="1:34" s="33" customFormat="1" ht="15.75" customHeight="1">
      <c r="A51" s="116"/>
      <c r="B51" s="334"/>
      <c r="C51" s="210"/>
      <c r="D51" s="442" t="s">
        <v>60</v>
      </c>
      <c r="E51" s="292" t="s">
        <v>18</v>
      </c>
      <c r="F51" s="749" t="s">
        <v>19</v>
      </c>
      <c r="G51" s="749"/>
      <c r="H51" s="749"/>
      <c r="I51" s="749"/>
      <c r="J51" s="749"/>
      <c r="K51" s="749"/>
      <c r="L51" s="749"/>
      <c r="M51" s="749"/>
      <c r="N51" s="749"/>
      <c r="O51" s="749"/>
      <c r="P51" s="292" t="s">
        <v>20</v>
      </c>
      <c r="Q51" s="211"/>
      <c r="R51" s="334"/>
      <c r="S51" s="127"/>
      <c r="T51" s="228"/>
      <c r="U51" s="229"/>
      <c r="V51" s="229"/>
      <c r="W51" s="230"/>
      <c r="X51" s="230"/>
      <c r="Y51" s="230"/>
      <c r="Z51" s="230"/>
      <c r="AA51" s="230"/>
      <c r="AB51" s="230"/>
      <c r="AC51" s="230"/>
      <c r="AD51" s="230"/>
      <c r="AE51" s="127"/>
      <c r="AF51" s="127"/>
      <c r="AG51" s="127"/>
      <c r="AH51" s="127"/>
    </row>
    <row r="52" spans="1:34" s="28" customFormat="1" ht="15.75" customHeight="1">
      <c r="A52" s="117"/>
      <c r="B52" s="334"/>
      <c r="C52" s="138"/>
      <c r="D52" s="36" t="s">
        <v>0</v>
      </c>
      <c r="E52" s="30" t="s">
        <v>229</v>
      </c>
      <c r="F52" s="71">
        <v>1</v>
      </c>
      <c r="G52" s="72">
        <v>2</v>
      </c>
      <c r="H52" s="73">
        <v>3</v>
      </c>
      <c r="I52" s="74">
        <v>4</v>
      </c>
      <c r="J52" s="75">
        <v>5</v>
      </c>
      <c r="K52" s="76">
        <v>6</v>
      </c>
      <c r="L52" s="77">
        <v>7</v>
      </c>
      <c r="M52" s="78">
        <v>8</v>
      </c>
      <c r="N52" s="79">
        <v>9</v>
      </c>
      <c r="O52" s="80">
        <v>10</v>
      </c>
      <c r="P52" s="32" t="s">
        <v>0</v>
      </c>
      <c r="Q52" s="139"/>
      <c r="R52" s="334"/>
      <c r="S52" s="575" t="s">
        <v>554</v>
      </c>
      <c r="T52" s="133">
        <f>VLOOKUP($E52,R.VL_DEQResourcesInvolved,2,FALSE)</f>
        <v>0</v>
      </c>
      <c r="U52" s="121">
        <f>VLOOKUP($E52,R.VL_DEQResourcesInvolved,3,FALSE)</f>
        <v>0</v>
      </c>
      <c r="V52" s="121">
        <f>IF(T52=10,U52,VLOOKUP($E52,R.VL_DEQResourcesInvolved,4,FALSE))</f>
        <v>0</v>
      </c>
      <c r="W52" s="64"/>
      <c r="X52" s="64"/>
      <c r="Y52" s="64"/>
      <c r="Z52" s="64"/>
      <c r="AA52" s="64"/>
      <c r="AB52" s="64"/>
      <c r="AC52" s="64"/>
      <c r="AD52" s="64"/>
      <c r="AE52" s="130"/>
      <c r="AF52" s="130"/>
      <c r="AG52" s="130"/>
      <c r="AH52" s="130"/>
    </row>
    <row r="53" spans="1:34" s="28" customFormat="1" ht="15.75" hidden="1" customHeight="1" outlineLevel="1">
      <c r="A53" s="117"/>
      <c r="B53" s="334"/>
      <c r="C53" s="138"/>
      <c r="D53" s="36" t="s">
        <v>0</v>
      </c>
      <c r="E53" s="30" t="s">
        <v>229</v>
      </c>
      <c r="F53" s="71">
        <v>1</v>
      </c>
      <c r="G53" s="72">
        <v>2</v>
      </c>
      <c r="H53" s="73">
        <v>3</v>
      </c>
      <c r="I53" s="74">
        <v>4</v>
      </c>
      <c r="J53" s="75">
        <v>5</v>
      </c>
      <c r="K53" s="76">
        <v>6</v>
      </c>
      <c r="L53" s="77">
        <v>7</v>
      </c>
      <c r="M53" s="78">
        <v>8</v>
      </c>
      <c r="N53" s="79">
        <v>9</v>
      </c>
      <c r="O53" s="80">
        <v>10</v>
      </c>
      <c r="P53" s="32" t="s">
        <v>0</v>
      </c>
      <c r="Q53" s="139"/>
      <c r="R53" s="334"/>
      <c r="S53" s="130"/>
      <c r="T53" s="133">
        <f>VLOOKUP($E53,R.VL_DEQResourcesInvolved,2,FALSE)</f>
        <v>0</v>
      </c>
      <c r="U53" s="121">
        <f>VLOOKUP($E53,R.VL_DEQResourcesInvolved,3,FALSE)</f>
        <v>0</v>
      </c>
      <c r="V53" s="121">
        <f>IF(T53=10,U53,VLOOKUP($E53,R.VL_DEQResourcesInvolved,4,FALSE))</f>
        <v>0</v>
      </c>
      <c r="W53" s="64"/>
      <c r="X53" s="64"/>
      <c r="Y53" s="64"/>
      <c r="Z53" s="64"/>
      <c r="AA53" s="64"/>
      <c r="AB53" s="64"/>
      <c r="AC53" s="64"/>
      <c r="AD53" s="64"/>
      <c r="AE53" s="130"/>
      <c r="AF53" s="130"/>
      <c r="AG53" s="130"/>
      <c r="AH53" s="130"/>
    </row>
    <row r="54" spans="1:34" s="28" customFormat="1" ht="15.75" hidden="1" customHeight="1" outlineLevel="1">
      <c r="A54" s="117"/>
      <c r="B54" s="334"/>
      <c r="C54" s="138"/>
      <c r="D54" s="36" t="s">
        <v>0</v>
      </c>
      <c r="E54" s="30" t="s">
        <v>229</v>
      </c>
      <c r="F54" s="71">
        <v>1</v>
      </c>
      <c r="G54" s="72">
        <v>2</v>
      </c>
      <c r="H54" s="73">
        <v>3</v>
      </c>
      <c r="I54" s="74">
        <v>4</v>
      </c>
      <c r="J54" s="75">
        <v>5</v>
      </c>
      <c r="K54" s="76">
        <v>6</v>
      </c>
      <c r="L54" s="77">
        <v>7</v>
      </c>
      <c r="M54" s="78">
        <v>8</v>
      </c>
      <c r="N54" s="79">
        <v>9</v>
      </c>
      <c r="O54" s="80">
        <v>10</v>
      </c>
      <c r="P54" s="32" t="s">
        <v>0</v>
      </c>
      <c r="Q54" s="139"/>
      <c r="R54" s="334"/>
      <c r="S54" s="130"/>
      <c r="T54" s="133">
        <f>VLOOKUP($E54,R.VL_DEQResourcesInvolved,2,FALSE)</f>
        <v>0</v>
      </c>
      <c r="U54" s="121">
        <f>VLOOKUP($E54,R.VL_DEQResourcesInvolved,3,FALSE)</f>
        <v>0</v>
      </c>
      <c r="V54" s="121">
        <f>IF(T54=10,U54,VLOOKUP($E54,R.VL_DEQResourcesInvolved,4,FALSE))</f>
        <v>0</v>
      </c>
      <c r="W54" s="64"/>
      <c r="X54" s="64"/>
      <c r="Y54" s="64"/>
      <c r="Z54" s="64"/>
      <c r="AA54" s="64"/>
      <c r="AB54" s="64"/>
      <c r="AC54" s="64"/>
      <c r="AD54" s="64"/>
      <c r="AE54" s="130"/>
      <c r="AF54" s="130"/>
      <c r="AG54" s="130"/>
      <c r="AH54" s="130"/>
    </row>
    <row r="55" spans="1:34" s="28" customFormat="1" ht="15.75" hidden="1" customHeight="1" outlineLevel="1">
      <c r="A55" s="117"/>
      <c r="B55" s="334"/>
      <c r="C55" s="138"/>
      <c r="D55" s="36" t="s">
        <v>0</v>
      </c>
      <c r="E55" s="30" t="s">
        <v>229</v>
      </c>
      <c r="F55" s="71">
        <v>1</v>
      </c>
      <c r="G55" s="72">
        <v>2</v>
      </c>
      <c r="H55" s="73">
        <v>3</v>
      </c>
      <c r="I55" s="74">
        <v>4</v>
      </c>
      <c r="J55" s="75">
        <v>5</v>
      </c>
      <c r="K55" s="76">
        <v>6</v>
      </c>
      <c r="L55" s="77">
        <v>7</v>
      </c>
      <c r="M55" s="78">
        <v>8</v>
      </c>
      <c r="N55" s="79">
        <v>9</v>
      </c>
      <c r="O55" s="80">
        <v>10</v>
      </c>
      <c r="P55" s="32" t="s">
        <v>0</v>
      </c>
      <c r="Q55" s="139"/>
      <c r="R55" s="334"/>
      <c r="S55" s="130"/>
      <c r="T55" s="133">
        <f>VLOOKUP($E55,R.VL_DEQResourcesInvolved,2,FALSE)</f>
        <v>0</v>
      </c>
      <c r="U55" s="121">
        <f>VLOOKUP($E55,R.VL_DEQResourcesInvolved,3,FALSE)</f>
        <v>0</v>
      </c>
      <c r="V55" s="121">
        <f>IF(T55=10,U55,VLOOKUP($E55,R.VL_DEQResourcesInvolved,4,FALSE))</f>
        <v>0</v>
      </c>
      <c r="W55" s="64"/>
      <c r="X55" s="64"/>
      <c r="Y55" s="64"/>
      <c r="Z55" s="64"/>
      <c r="AA55" s="64"/>
      <c r="AB55" s="64"/>
      <c r="AC55" s="64"/>
      <c r="AD55" s="64"/>
      <c r="AE55" s="130"/>
      <c r="AF55" s="130"/>
      <c r="AG55" s="130"/>
      <c r="AH55" s="130"/>
    </row>
    <row r="56" spans="1:34" s="28" customFormat="1" ht="14.25" customHeight="1" collapsed="1">
      <c r="A56" s="117"/>
      <c r="B56" s="334"/>
      <c r="C56" s="376"/>
      <c r="D56" s="481"/>
      <c r="E56" s="739"/>
      <c r="F56" s="739"/>
      <c r="G56" s="739"/>
      <c r="H56" s="739"/>
      <c r="I56" s="739"/>
      <c r="J56" s="739"/>
      <c r="K56" s="739"/>
      <c r="L56" s="739"/>
      <c r="M56" s="739"/>
      <c r="N56" s="739"/>
      <c r="O56" s="739"/>
      <c r="P56" s="739"/>
      <c r="Q56" s="379"/>
      <c r="R56" s="334"/>
      <c r="S56" s="130"/>
      <c r="T56" s="132"/>
      <c r="U56" s="131"/>
      <c r="V56" s="131"/>
      <c r="W56" s="64"/>
      <c r="X56" s="64"/>
      <c r="Y56" s="64"/>
      <c r="Z56" s="64"/>
      <c r="AA56" s="64"/>
      <c r="AB56" s="64"/>
      <c r="AC56" s="64"/>
      <c r="AD56" s="64"/>
      <c r="AE56" s="130"/>
      <c r="AF56" s="130"/>
      <c r="AG56" s="130"/>
      <c r="AH56" s="130"/>
    </row>
    <row r="57" spans="1:34" s="33" customFormat="1" ht="30" customHeight="1">
      <c r="A57" s="116"/>
      <c r="B57" s="334"/>
      <c r="C57" s="483" t="s">
        <v>0</v>
      </c>
      <c r="D57" s="506" t="s">
        <v>244</v>
      </c>
      <c r="E57" s="490"/>
      <c r="F57" s="382"/>
      <c r="G57" s="382"/>
      <c r="H57" s="382"/>
      <c r="I57" s="382"/>
      <c r="J57" s="382"/>
      <c r="K57" s="382"/>
      <c r="L57" s="382"/>
      <c r="M57" s="382"/>
      <c r="N57" s="382"/>
      <c r="O57" s="382"/>
      <c r="P57" s="382"/>
      <c r="Q57" s="384"/>
      <c r="R57" s="334"/>
      <c r="S57" s="127"/>
      <c r="T57" s="128"/>
      <c r="U57" s="127"/>
      <c r="V57" s="127"/>
      <c r="W57" s="129"/>
      <c r="X57" s="129"/>
      <c r="Y57" s="129"/>
      <c r="Z57" s="129"/>
      <c r="AA57" s="129"/>
      <c r="AB57" s="129"/>
      <c r="AC57" s="129"/>
      <c r="AD57" s="129"/>
      <c r="AE57" s="127"/>
      <c r="AF57" s="127"/>
      <c r="AG57" s="127"/>
      <c r="AH57" s="127"/>
    </row>
    <row r="58" spans="1:34" s="33" customFormat="1" ht="14.25" customHeight="1">
      <c r="A58" s="116"/>
      <c r="B58" s="334"/>
      <c r="C58" s="232"/>
      <c r="D58" s="443" t="s">
        <v>53</v>
      </c>
      <c r="E58" s="94"/>
      <c r="F58" s="94"/>
      <c r="G58" s="94"/>
      <c r="H58" s="94"/>
      <c r="I58" s="94"/>
      <c r="J58" s="94"/>
      <c r="K58" s="94"/>
      <c r="L58" s="94"/>
      <c r="M58" s="94"/>
      <c r="N58" s="94"/>
      <c r="O58" s="94"/>
      <c r="P58" s="94"/>
      <c r="Q58" s="137"/>
      <c r="R58" s="334"/>
      <c r="S58" s="127"/>
      <c r="T58" s="235"/>
      <c r="U58" s="229"/>
      <c r="V58" s="229"/>
      <c r="W58" s="230"/>
      <c r="X58" s="230"/>
      <c r="Y58" s="230"/>
      <c r="Z58" s="230"/>
      <c r="AA58" s="230"/>
      <c r="AB58" s="230"/>
      <c r="AC58" s="230"/>
      <c r="AD58" s="230"/>
      <c r="AE58" s="127"/>
      <c r="AF58" s="127"/>
      <c r="AG58" s="127"/>
      <c r="AH58" s="127"/>
    </row>
    <row r="59" spans="1:34" s="28" customFormat="1" ht="15.75" customHeight="1">
      <c r="A59" s="117"/>
      <c r="B59" s="334"/>
      <c r="C59" s="138"/>
      <c r="D59" s="719"/>
      <c r="E59" s="720"/>
      <c r="F59" s="720"/>
      <c r="G59" s="720"/>
      <c r="H59" s="720"/>
      <c r="I59" s="720"/>
      <c r="J59" s="720"/>
      <c r="K59" s="720"/>
      <c r="L59" s="720"/>
      <c r="M59" s="720"/>
      <c r="N59" s="720"/>
      <c r="O59" s="720"/>
      <c r="P59" s="721"/>
      <c r="Q59" s="139"/>
      <c r="R59" s="334"/>
      <c r="S59" s="130"/>
      <c r="T59" s="132" t="s">
        <v>0</v>
      </c>
      <c r="U59" s="131"/>
      <c r="V59" s="131"/>
      <c r="W59" s="64"/>
      <c r="X59" s="64"/>
      <c r="Y59" s="64"/>
      <c r="Z59" s="64"/>
      <c r="AA59" s="64"/>
      <c r="AB59" s="64"/>
      <c r="AC59" s="64"/>
      <c r="AD59" s="64"/>
      <c r="AE59" s="130"/>
      <c r="AF59" s="130"/>
      <c r="AG59" s="130"/>
      <c r="AH59" s="130"/>
    </row>
    <row r="60" spans="1:34" s="33" customFormat="1" ht="15.75" customHeight="1">
      <c r="A60" s="116"/>
      <c r="B60" s="334"/>
      <c r="C60" s="232"/>
      <c r="D60" s="442" t="s">
        <v>60</v>
      </c>
      <c r="E60" s="292" t="s">
        <v>18</v>
      </c>
      <c r="F60" s="749" t="s">
        <v>19</v>
      </c>
      <c r="G60" s="749"/>
      <c r="H60" s="749"/>
      <c r="I60" s="749"/>
      <c r="J60" s="749"/>
      <c r="K60" s="749"/>
      <c r="L60" s="749"/>
      <c r="M60" s="749"/>
      <c r="N60" s="749"/>
      <c r="O60" s="749"/>
      <c r="P60" s="292" t="s">
        <v>20</v>
      </c>
      <c r="Q60" s="137"/>
      <c r="R60" s="334"/>
      <c r="S60" s="127"/>
      <c r="T60" s="228"/>
      <c r="U60" s="229"/>
      <c r="V60" s="229"/>
      <c r="W60" s="230"/>
      <c r="X60" s="230"/>
      <c r="Y60" s="230"/>
      <c r="Z60" s="230"/>
      <c r="AA60" s="230"/>
      <c r="AB60" s="230"/>
      <c r="AC60" s="230"/>
      <c r="AD60" s="230"/>
      <c r="AE60" s="127"/>
      <c r="AF60" s="127"/>
      <c r="AG60" s="127"/>
      <c r="AH60" s="127"/>
    </row>
    <row r="61" spans="1:34" s="28" customFormat="1" ht="15.75" customHeight="1">
      <c r="A61" s="117"/>
      <c r="B61" s="334"/>
      <c r="C61" s="138"/>
      <c r="D61" s="36"/>
      <c r="E61" s="30" t="s">
        <v>229</v>
      </c>
      <c r="F61" s="71">
        <v>1</v>
      </c>
      <c r="G61" s="72">
        <v>2</v>
      </c>
      <c r="H61" s="73">
        <v>3</v>
      </c>
      <c r="I61" s="74">
        <v>4</v>
      </c>
      <c r="J61" s="75">
        <v>5</v>
      </c>
      <c r="K61" s="76">
        <v>6</v>
      </c>
      <c r="L61" s="77">
        <v>7</v>
      </c>
      <c r="M61" s="78">
        <v>8</v>
      </c>
      <c r="N61" s="79">
        <v>9</v>
      </c>
      <c r="O61" s="80">
        <v>10</v>
      </c>
      <c r="P61" s="32"/>
      <c r="Q61" s="139"/>
      <c r="R61" s="334"/>
      <c r="S61" s="575" t="s">
        <v>554</v>
      </c>
      <c r="T61" s="133">
        <f>VLOOKUP($E61,R.VL_DEQResourcesInvolved,2,FALSE)</f>
        <v>0</v>
      </c>
      <c r="U61" s="121">
        <f>VLOOKUP($E61,R.VL_DEQResourcesInvolved,3,FALSE)</f>
        <v>0</v>
      </c>
      <c r="V61" s="121">
        <f>IF(T61=10,U61,VLOOKUP($E61,R.VL_DEQResourcesInvolved,4,FALSE))</f>
        <v>0</v>
      </c>
      <c r="W61" s="64"/>
      <c r="X61" s="64"/>
      <c r="Y61" s="64"/>
      <c r="Z61" s="64"/>
      <c r="AA61" s="64"/>
      <c r="AB61" s="64"/>
      <c r="AC61" s="64"/>
      <c r="AD61" s="64"/>
      <c r="AE61" s="130"/>
      <c r="AF61" s="130"/>
      <c r="AG61" s="130"/>
      <c r="AH61" s="130"/>
    </row>
    <row r="62" spans="1:34" s="28" customFormat="1" ht="15.75" hidden="1" customHeight="1" outlineLevel="1">
      <c r="A62" s="117"/>
      <c r="B62" s="334"/>
      <c r="C62" s="138"/>
      <c r="D62" s="36" t="s">
        <v>0</v>
      </c>
      <c r="E62" s="30" t="s">
        <v>229</v>
      </c>
      <c r="F62" s="71">
        <v>1</v>
      </c>
      <c r="G62" s="72">
        <v>2</v>
      </c>
      <c r="H62" s="73">
        <v>3</v>
      </c>
      <c r="I62" s="74">
        <v>4</v>
      </c>
      <c r="J62" s="75">
        <v>5</v>
      </c>
      <c r="K62" s="76">
        <v>6</v>
      </c>
      <c r="L62" s="77">
        <v>7</v>
      </c>
      <c r="M62" s="78">
        <v>8</v>
      </c>
      <c r="N62" s="79">
        <v>9</v>
      </c>
      <c r="O62" s="80">
        <v>10</v>
      </c>
      <c r="P62" s="32" t="s">
        <v>0</v>
      </c>
      <c r="Q62" s="139"/>
      <c r="R62" s="334"/>
      <c r="S62" s="130"/>
      <c r="T62" s="133">
        <f>VLOOKUP($E62,R.VL_DEQResourcesInvolved,2,FALSE)</f>
        <v>0</v>
      </c>
      <c r="U62" s="121">
        <f>VLOOKUP($E62,R.VL_DEQResourcesInvolved,3,FALSE)</f>
        <v>0</v>
      </c>
      <c r="V62" s="121">
        <f>IF(T62=10,U62,VLOOKUP($E62,R.VL_DEQResourcesInvolved,4,FALSE))</f>
        <v>0</v>
      </c>
      <c r="W62" s="64"/>
      <c r="X62" s="64"/>
      <c r="Y62" s="64"/>
      <c r="Z62" s="64"/>
      <c r="AA62" s="64"/>
      <c r="AB62" s="64"/>
      <c r="AC62" s="64"/>
      <c r="AD62" s="64"/>
      <c r="AE62" s="130"/>
      <c r="AF62" s="130"/>
      <c r="AG62" s="130"/>
      <c r="AH62" s="130"/>
    </row>
    <row r="63" spans="1:34" s="28" customFormat="1" ht="15.75" hidden="1" customHeight="1" outlineLevel="1">
      <c r="A63" s="117"/>
      <c r="B63" s="334"/>
      <c r="C63" s="138"/>
      <c r="D63" s="36" t="s">
        <v>0</v>
      </c>
      <c r="E63" s="30" t="s">
        <v>229</v>
      </c>
      <c r="F63" s="71">
        <v>1</v>
      </c>
      <c r="G63" s="72">
        <v>2</v>
      </c>
      <c r="H63" s="73">
        <v>3</v>
      </c>
      <c r="I63" s="74">
        <v>4</v>
      </c>
      <c r="J63" s="75">
        <v>5</v>
      </c>
      <c r="K63" s="76">
        <v>6</v>
      </c>
      <c r="L63" s="77">
        <v>7</v>
      </c>
      <c r="M63" s="78">
        <v>8</v>
      </c>
      <c r="N63" s="79">
        <v>9</v>
      </c>
      <c r="O63" s="80">
        <v>10</v>
      </c>
      <c r="P63" s="32" t="s">
        <v>0</v>
      </c>
      <c r="Q63" s="139"/>
      <c r="R63" s="334"/>
      <c r="S63" s="130"/>
      <c r="T63" s="133">
        <f>VLOOKUP($E63,R.VL_DEQResourcesInvolved,2,FALSE)</f>
        <v>0</v>
      </c>
      <c r="U63" s="121">
        <f>VLOOKUP($E63,R.VL_DEQResourcesInvolved,3,FALSE)</f>
        <v>0</v>
      </c>
      <c r="V63" s="121">
        <f>IF(T63=10,U63,VLOOKUP($E63,R.VL_DEQResourcesInvolved,4,FALSE))</f>
        <v>0</v>
      </c>
      <c r="W63" s="64"/>
      <c r="X63" s="64"/>
      <c r="Y63" s="64"/>
      <c r="Z63" s="64"/>
      <c r="AA63" s="64"/>
      <c r="AB63" s="64"/>
      <c r="AC63" s="64"/>
      <c r="AD63" s="64"/>
      <c r="AE63" s="130"/>
      <c r="AF63" s="130"/>
      <c r="AG63" s="130"/>
      <c r="AH63" s="130"/>
    </row>
    <row r="64" spans="1:34" s="28" customFormat="1" ht="15.75" hidden="1" customHeight="1" outlineLevel="1">
      <c r="A64" s="117"/>
      <c r="B64" s="334"/>
      <c r="C64" s="138"/>
      <c r="D64" s="36" t="s">
        <v>0</v>
      </c>
      <c r="E64" s="30" t="s">
        <v>229</v>
      </c>
      <c r="F64" s="71">
        <v>1</v>
      </c>
      <c r="G64" s="72">
        <v>2</v>
      </c>
      <c r="H64" s="73">
        <v>3</v>
      </c>
      <c r="I64" s="74">
        <v>4</v>
      </c>
      <c r="J64" s="75">
        <v>5</v>
      </c>
      <c r="K64" s="76">
        <v>6</v>
      </c>
      <c r="L64" s="77">
        <v>7</v>
      </c>
      <c r="M64" s="78">
        <v>8</v>
      </c>
      <c r="N64" s="79">
        <v>9</v>
      </c>
      <c r="O64" s="80">
        <v>10</v>
      </c>
      <c r="P64" s="32" t="s">
        <v>0</v>
      </c>
      <c r="Q64" s="139"/>
      <c r="R64" s="334"/>
      <c r="S64" s="130"/>
      <c r="T64" s="133">
        <f>VLOOKUP($E64,R.VL_DEQResourcesInvolved,2,FALSE)</f>
        <v>0</v>
      </c>
      <c r="U64" s="121">
        <f>VLOOKUP($E64,R.VL_DEQResourcesInvolved,3,FALSE)</f>
        <v>0</v>
      </c>
      <c r="V64" s="121">
        <f>IF(T64=10,U64,VLOOKUP($E64,R.VL_DEQResourcesInvolved,4,FALSE))</f>
        <v>0</v>
      </c>
      <c r="W64" s="64"/>
      <c r="X64" s="64"/>
      <c r="Y64" s="64"/>
      <c r="Z64" s="64"/>
      <c r="AA64" s="64"/>
      <c r="AB64" s="64"/>
      <c r="AC64" s="64"/>
      <c r="AD64" s="64"/>
      <c r="AE64" s="130"/>
      <c r="AF64" s="130"/>
      <c r="AG64" s="130"/>
      <c r="AH64" s="130"/>
    </row>
    <row r="65" spans="1:34" s="28" customFormat="1" ht="15.75" customHeight="1" collapsed="1">
      <c r="A65" s="117"/>
      <c r="B65" s="334"/>
      <c r="C65" s="245"/>
      <c r="D65" s="443" t="s">
        <v>52</v>
      </c>
      <c r="E65" s="31"/>
      <c r="F65" s="31"/>
      <c r="G65" s="31"/>
      <c r="H65" s="31"/>
      <c r="I65" s="31"/>
      <c r="J65" s="31"/>
      <c r="K65" s="31"/>
      <c r="L65" s="31"/>
      <c r="M65" s="31"/>
      <c r="N65" s="31"/>
      <c r="O65" s="31"/>
      <c r="P65" s="31"/>
      <c r="Q65" s="143"/>
      <c r="R65" s="334"/>
      <c r="S65" s="130"/>
      <c r="T65" s="228"/>
      <c r="U65" s="229"/>
      <c r="V65" s="229"/>
      <c r="W65" s="236"/>
      <c r="X65" s="236"/>
      <c r="Y65" s="236"/>
      <c r="Z65" s="236"/>
      <c r="AA65" s="236"/>
      <c r="AB65" s="236"/>
      <c r="AC65" s="236"/>
      <c r="AD65" s="236"/>
      <c r="AE65" s="130"/>
      <c r="AF65" s="130"/>
      <c r="AG65" s="130"/>
      <c r="AH65" s="130"/>
    </row>
    <row r="66" spans="1:34" s="28" customFormat="1" ht="15.75" customHeight="1">
      <c r="A66" s="117"/>
      <c r="B66" s="334"/>
      <c r="C66" s="138"/>
      <c r="D66" s="724"/>
      <c r="E66" s="725"/>
      <c r="F66" s="725"/>
      <c r="G66" s="725"/>
      <c r="H66" s="725"/>
      <c r="I66" s="725"/>
      <c r="J66" s="725"/>
      <c r="K66" s="725"/>
      <c r="L66" s="725"/>
      <c r="M66" s="725"/>
      <c r="N66" s="725"/>
      <c r="O66" s="725"/>
      <c r="P66" s="726"/>
      <c r="Q66" s="139"/>
      <c r="R66" s="334"/>
      <c r="S66" s="130"/>
      <c r="T66" s="132" t="s">
        <v>0</v>
      </c>
      <c r="U66" s="131"/>
      <c r="V66" s="131"/>
      <c r="W66" s="64"/>
      <c r="X66" s="64"/>
      <c r="Y66" s="64"/>
      <c r="Z66" s="64"/>
      <c r="AA66" s="64"/>
      <c r="AB66" s="64"/>
      <c r="AC66" s="64"/>
      <c r="AD66" s="64"/>
      <c r="AE66" s="130"/>
      <c r="AF66" s="130"/>
      <c r="AG66" s="130"/>
      <c r="AH66" s="130"/>
    </row>
    <row r="67" spans="1:34" s="33" customFormat="1" ht="15.75" customHeight="1">
      <c r="A67" s="116"/>
      <c r="B67" s="334"/>
      <c r="C67" s="232"/>
      <c r="D67" s="442" t="s">
        <v>60</v>
      </c>
      <c r="E67" s="292" t="s">
        <v>18</v>
      </c>
      <c r="F67" s="749" t="s">
        <v>19</v>
      </c>
      <c r="G67" s="749"/>
      <c r="H67" s="749"/>
      <c r="I67" s="749"/>
      <c r="J67" s="749"/>
      <c r="K67" s="749"/>
      <c r="L67" s="749"/>
      <c r="M67" s="749"/>
      <c r="N67" s="749"/>
      <c r="O67" s="749"/>
      <c r="P67" s="292" t="s">
        <v>20</v>
      </c>
      <c r="Q67" s="137"/>
      <c r="R67" s="334"/>
      <c r="S67" s="127"/>
      <c r="T67" s="228"/>
      <c r="U67" s="229"/>
      <c r="V67" s="229"/>
      <c r="W67" s="230"/>
      <c r="X67" s="230"/>
      <c r="Y67" s="230"/>
      <c r="Z67" s="230"/>
      <c r="AA67" s="230"/>
      <c r="AB67" s="230"/>
      <c r="AC67" s="230"/>
      <c r="AD67" s="230"/>
      <c r="AE67" s="127"/>
      <c r="AF67" s="127"/>
      <c r="AG67" s="127"/>
      <c r="AH67" s="127"/>
    </row>
    <row r="68" spans="1:34" s="28" customFormat="1" ht="15.75" customHeight="1">
      <c r="A68" s="117"/>
      <c r="B68" s="334"/>
      <c r="C68" s="138"/>
      <c r="D68" s="36" t="s">
        <v>0</v>
      </c>
      <c r="E68" s="30" t="s">
        <v>229</v>
      </c>
      <c r="F68" s="71">
        <v>1</v>
      </c>
      <c r="G68" s="72">
        <v>2</v>
      </c>
      <c r="H68" s="73">
        <v>3</v>
      </c>
      <c r="I68" s="74">
        <v>4</v>
      </c>
      <c r="J68" s="75">
        <v>5</v>
      </c>
      <c r="K68" s="76">
        <v>6</v>
      </c>
      <c r="L68" s="77">
        <v>7</v>
      </c>
      <c r="M68" s="78">
        <v>8</v>
      </c>
      <c r="N68" s="79">
        <v>9</v>
      </c>
      <c r="O68" s="80">
        <v>10</v>
      </c>
      <c r="P68" s="32" t="s">
        <v>0</v>
      </c>
      <c r="Q68" s="139"/>
      <c r="R68" s="334"/>
      <c r="S68" s="575" t="s">
        <v>554</v>
      </c>
      <c r="T68" s="133">
        <f>VLOOKUP($E68,R.VL_DEQResourcesInvolved,2,FALSE)</f>
        <v>0</v>
      </c>
      <c r="U68" s="121">
        <f>VLOOKUP($E68,R.VL_DEQResourcesInvolved,3,FALSE)</f>
        <v>0</v>
      </c>
      <c r="V68" s="121">
        <f>IF(T68=10,U68,VLOOKUP($E68,R.VL_DEQResourcesInvolved,4,FALSE))</f>
        <v>0</v>
      </c>
      <c r="W68" s="64"/>
      <c r="X68" s="64"/>
      <c r="Y68" s="64"/>
      <c r="Z68" s="64"/>
      <c r="AA68" s="64"/>
      <c r="AB68" s="64"/>
      <c r="AC68" s="64"/>
      <c r="AD68" s="64"/>
      <c r="AE68" s="130"/>
      <c r="AF68" s="130"/>
      <c r="AG68" s="130"/>
      <c r="AH68" s="130"/>
    </row>
    <row r="69" spans="1:34" s="28" customFormat="1" ht="15.75" hidden="1" customHeight="1" outlineLevel="1">
      <c r="A69" s="117"/>
      <c r="B69" s="334"/>
      <c r="C69" s="138"/>
      <c r="D69" s="36" t="s">
        <v>0</v>
      </c>
      <c r="E69" s="30" t="s">
        <v>229</v>
      </c>
      <c r="F69" s="71">
        <v>1</v>
      </c>
      <c r="G69" s="72">
        <v>2</v>
      </c>
      <c r="H69" s="73">
        <v>3</v>
      </c>
      <c r="I69" s="74">
        <v>4</v>
      </c>
      <c r="J69" s="75">
        <v>5</v>
      </c>
      <c r="K69" s="76">
        <v>6</v>
      </c>
      <c r="L69" s="77">
        <v>7</v>
      </c>
      <c r="M69" s="78">
        <v>8</v>
      </c>
      <c r="N69" s="79">
        <v>9</v>
      </c>
      <c r="O69" s="80">
        <v>10</v>
      </c>
      <c r="P69" s="32" t="s">
        <v>0</v>
      </c>
      <c r="Q69" s="139"/>
      <c r="R69" s="334"/>
      <c r="S69" s="130"/>
      <c r="T69" s="133">
        <f>VLOOKUP($E69,R.VL_DEQResourcesInvolved,2,FALSE)</f>
        <v>0</v>
      </c>
      <c r="U69" s="121">
        <f>VLOOKUP($E69,R.VL_DEQResourcesInvolved,3,FALSE)</f>
        <v>0</v>
      </c>
      <c r="V69" s="121">
        <f>IF(T69=10,U69,VLOOKUP($E69,R.VL_DEQResourcesInvolved,4,FALSE))</f>
        <v>0</v>
      </c>
      <c r="W69" s="64"/>
      <c r="X69" s="64"/>
      <c r="Y69" s="64"/>
      <c r="Z69" s="64"/>
      <c r="AA69" s="64"/>
      <c r="AB69" s="64"/>
      <c r="AC69" s="64"/>
      <c r="AD69" s="64"/>
      <c r="AE69" s="130"/>
      <c r="AF69" s="130"/>
      <c r="AG69" s="130"/>
      <c r="AH69" s="130"/>
    </row>
    <row r="70" spans="1:34" s="28" customFormat="1" ht="15.75" hidden="1" customHeight="1" outlineLevel="1">
      <c r="A70" s="117"/>
      <c r="B70" s="334"/>
      <c r="C70" s="138"/>
      <c r="D70" s="36" t="s">
        <v>0</v>
      </c>
      <c r="E70" s="30" t="s">
        <v>229</v>
      </c>
      <c r="F70" s="71">
        <v>1</v>
      </c>
      <c r="G70" s="72">
        <v>2</v>
      </c>
      <c r="H70" s="73">
        <v>3</v>
      </c>
      <c r="I70" s="74">
        <v>4</v>
      </c>
      <c r="J70" s="75">
        <v>5</v>
      </c>
      <c r="K70" s="76">
        <v>6</v>
      </c>
      <c r="L70" s="77">
        <v>7</v>
      </c>
      <c r="M70" s="78">
        <v>8</v>
      </c>
      <c r="N70" s="79">
        <v>9</v>
      </c>
      <c r="O70" s="80">
        <v>10</v>
      </c>
      <c r="P70" s="32" t="s">
        <v>0</v>
      </c>
      <c r="Q70" s="139"/>
      <c r="R70" s="334"/>
      <c r="S70" s="130"/>
      <c r="T70" s="133">
        <f>VLOOKUP($E70,R.VL_DEQResourcesInvolved,2,FALSE)</f>
        <v>0</v>
      </c>
      <c r="U70" s="121">
        <f>VLOOKUP($E70,R.VL_DEQResourcesInvolved,3,FALSE)</f>
        <v>0</v>
      </c>
      <c r="V70" s="121">
        <f>IF(T70=10,U70,VLOOKUP($E70,R.VL_DEQResourcesInvolved,4,FALSE))</f>
        <v>0</v>
      </c>
      <c r="W70" s="64"/>
      <c r="X70" s="64"/>
      <c r="Y70" s="64"/>
      <c r="Z70" s="64"/>
      <c r="AA70" s="64"/>
      <c r="AB70" s="64"/>
      <c r="AC70" s="64"/>
      <c r="AD70" s="64"/>
      <c r="AE70" s="130"/>
      <c r="AF70" s="130"/>
      <c r="AG70" s="130"/>
      <c r="AH70" s="130"/>
    </row>
    <row r="71" spans="1:34" s="28" customFormat="1" ht="15.75" hidden="1" customHeight="1" outlineLevel="1">
      <c r="A71" s="117"/>
      <c r="B71" s="334"/>
      <c r="C71" s="138"/>
      <c r="D71" s="36" t="s">
        <v>0</v>
      </c>
      <c r="E71" s="30" t="s">
        <v>229</v>
      </c>
      <c r="F71" s="71">
        <v>1</v>
      </c>
      <c r="G71" s="72">
        <v>2</v>
      </c>
      <c r="H71" s="73">
        <v>3</v>
      </c>
      <c r="I71" s="74">
        <v>4</v>
      </c>
      <c r="J71" s="75">
        <v>5</v>
      </c>
      <c r="K71" s="76">
        <v>6</v>
      </c>
      <c r="L71" s="77">
        <v>7</v>
      </c>
      <c r="M71" s="78">
        <v>8</v>
      </c>
      <c r="N71" s="79">
        <v>9</v>
      </c>
      <c r="O71" s="80">
        <v>10</v>
      </c>
      <c r="P71" s="32" t="s">
        <v>0</v>
      </c>
      <c r="Q71" s="139"/>
      <c r="R71" s="334"/>
      <c r="S71" s="130"/>
      <c r="T71" s="133">
        <f>VLOOKUP($E71,R.VL_DEQResourcesInvolved,2,FALSE)</f>
        <v>0</v>
      </c>
      <c r="U71" s="121">
        <f>VLOOKUP($E71,R.VL_DEQResourcesInvolved,3,FALSE)</f>
        <v>0</v>
      </c>
      <c r="V71" s="121">
        <f>IF(T71=10,U71,VLOOKUP($E71,R.VL_DEQResourcesInvolved,4,FALSE))</f>
        <v>0</v>
      </c>
      <c r="W71" s="64"/>
      <c r="X71" s="64"/>
      <c r="Y71" s="64"/>
      <c r="Z71" s="64"/>
      <c r="AA71" s="64"/>
      <c r="AB71" s="64"/>
      <c r="AC71" s="64"/>
      <c r="AD71" s="64"/>
      <c r="AE71" s="130"/>
      <c r="AF71" s="130"/>
      <c r="AG71" s="130"/>
      <c r="AH71" s="130"/>
    </row>
    <row r="72" spans="1:34" s="28" customFormat="1" ht="14.25" customHeight="1" collapsed="1">
      <c r="A72" s="117"/>
      <c r="B72" s="334"/>
      <c r="C72" s="376"/>
      <c r="D72" s="481"/>
      <c r="E72" s="739"/>
      <c r="F72" s="739"/>
      <c r="G72" s="739"/>
      <c r="H72" s="739"/>
      <c r="I72" s="739"/>
      <c r="J72" s="739"/>
      <c r="K72" s="739"/>
      <c r="L72" s="739"/>
      <c r="M72" s="739"/>
      <c r="N72" s="739"/>
      <c r="O72" s="739"/>
      <c r="P72" s="739"/>
      <c r="Q72" s="379"/>
      <c r="R72" s="334"/>
      <c r="S72" s="130"/>
      <c r="T72" s="132"/>
      <c r="U72" s="131"/>
      <c r="V72" s="131"/>
      <c r="W72" s="64"/>
      <c r="X72" s="64"/>
      <c r="Y72" s="64"/>
      <c r="Z72" s="64"/>
      <c r="AA72" s="64"/>
      <c r="AB72" s="64"/>
      <c r="AC72" s="64"/>
      <c r="AD72" s="64"/>
      <c r="AE72" s="130"/>
      <c r="AF72" s="130"/>
      <c r="AG72" s="130"/>
      <c r="AH72" s="130"/>
    </row>
    <row r="73" spans="1:34" s="29" customFormat="1" ht="30" customHeight="1">
      <c r="A73" s="118"/>
      <c r="B73" s="334"/>
      <c r="C73" s="146"/>
      <c r="D73" s="644" t="str">
        <f>"Please suggest process improvements to the "&amp;D2&amp;" worksheet."</f>
        <v>Please suggest process improvements to the Custom Participants worksheet.</v>
      </c>
      <c r="E73" s="644"/>
      <c r="F73" s="644"/>
      <c r="G73" s="644"/>
      <c r="H73" s="644"/>
      <c r="I73" s="87"/>
      <c r="J73" s="88"/>
      <c r="K73" s="89"/>
      <c r="L73" s="90"/>
      <c r="M73" s="91"/>
      <c r="N73" s="92"/>
      <c r="O73" s="93"/>
      <c r="P73" s="39"/>
      <c r="Q73" s="147"/>
      <c r="R73" s="334"/>
      <c r="S73" s="65"/>
      <c r="T73" s="134"/>
      <c r="U73" s="131"/>
      <c r="V73" s="131"/>
      <c r="W73" s="64"/>
      <c r="X73" s="64"/>
      <c r="Y73" s="64"/>
      <c r="Z73" s="64"/>
      <c r="AA73" s="64"/>
      <c r="AB73" s="64"/>
      <c r="AC73" s="64"/>
      <c r="AD73" s="64"/>
      <c r="AE73" s="65"/>
      <c r="AF73" s="65"/>
      <c r="AG73" s="65"/>
      <c r="AH73" s="65"/>
    </row>
    <row r="74" spans="1:34" s="6" customFormat="1" ht="30.75" customHeight="1">
      <c r="A74" s="114"/>
      <c r="B74" s="334"/>
      <c r="C74" s="136"/>
      <c r="D74" s="641"/>
      <c r="E74" s="642"/>
      <c r="F74" s="642"/>
      <c r="G74" s="642"/>
      <c r="H74" s="642"/>
      <c r="I74" s="642"/>
      <c r="J74" s="642"/>
      <c r="K74" s="642"/>
      <c r="L74" s="642"/>
      <c r="M74" s="642"/>
      <c r="N74" s="642"/>
      <c r="O74" s="642"/>
      <c r="P74" s="643"/>
      <c r="Q74" s="148"/>
      <c r="R74" s="334"/>
      <c r="S74" s="66"/>
      <c r="T74" s="132"/>
      <c r="U74" s="131"/>
      <c r="V74" s="131"/>
      <c r="W74" s="64"/>
      <c r="X74" s="64"/>
      <c r="Y74" s="64"/>
      <c r="Z74" s="64"/>
      <c r="AA74" s="64"/>
      <c r="AB74" s="64"/>
      <c r="AC74" s="64"/>
      <c r="AD74" s="64"/>
      <c r="AE74" s="66"/>
      <c r="AF74" s="66"/>
      <c r="AG74" s="66"/>
      <c r="AH74" s="66"/>
    </row>
    <row r="75" spans="1:34" ht="18" customHeight="1">
      <c r="A75" s="350" t="s">
        <v>108</v>
      </c>
      <c r="B75" s="334"/>
      <c r="C75" s="149"/>
      <c r="D75" s="150"/>
      <c r="E75" s="150"/>
      <c r="F75" s="150"/>
      <c r="G75" s="150"/>
      <c r="H75" s="150"/>
      <c r="I75" s="150"/>
      <c r="J75" s="150"/>
      <c r="K75" s="150"/>
      <c r="L75" s="150"/>
      <c r="M75" s="150"/>
      <c r="N75" s="150"/>
      <c r="O75" s="150"/>
      <c r="P75" s="150"/>
      <c r="Q75" s="151"/>
      <c r="R75" s="334"/>
    </row>
    <row r="76" spans="1:34" s="64" customFormat="1" ht="14.25">
      <c r="B76" s="334"/>
      <c r="C76" s="334"/>
      <c r="D76" s="334"/>
      <c r="E76" s="334"/>
      <c r="F76" s="334"/>
      <c r="G76" s="334"/>
      <c r="H76" s="334"/>
      <c r="I76" s="334"/>
      <c r="J76" s="334"/>
      <c r="K76" s="334"/>
      <c r="L76" s="334"/>
      <c r="M76" s="334"/>
      <c r="N76" s="334"/>
      <c r="O76" s="334"/>
      <c r="P76" s="334"/>
      <c r="Q76" s="334"/>
      <c r="R76" s="334"/>
      <c r="T76" s="113"/>
    </row>
    <row r="77" spans="1:34" s="64" customFormat="1" ht="201" customHeight="1">
      <c r="C77" s="112"/>
      <c r="T77" s="113"/>
    </row>
    <row r="78" spans="1:34" s="64" customFormat="1">
      <c r="C78" s="112"/>
      <c r="T78" s="113"/>
    </row>
    <row r="79" spans="1:34" s="64" customFormat="1">
      <c r="C79" s="112"/>
      <c r="T79" s="113"/>
    </row>
    <row r="80" spans="1:34" s="64" customFormat="1">
      <c r="C80" s="112"/>
      <c r="T80" s="113"/>
    </row>
    <row r="81" spans="3:20" s="64" customFormat="1">
      <c r="C81" s="112"/>
      <c r="T81" s="113"/>
    </row>
    <row r="82" spans="3:20" s="64" customFormat="1">
      <c r="C82" s="112"/>
      <c r="T82" s="113"/>
    </row>
  </sheetData>
  <sheetProtection sheet="1" scenarios="1" formatCells="0" formatRows="0" insertHyperlinks="0"/>
  <mergeCells count="30">
    <mergeCell ref="F51:O51"/>
    <mergeCell ref="F60:O60"/>
    <mergeCell ref="F67:O67"/>
    <mergeCell ref="D50:P50"/>
    <mergeCell ref="D7:P7"/>
    <mergeCell ref="D27:P27"/>
    <mergeCell ref="D34:P34"/>
    <mergeCell ref="E40:P40"/>
    <mergeCell ref="D43:P43"/>
    <mergeCell ref="F44:O44"/>
    <mergeCell ref="F28:O28"/>
    <mergeCell ref="F35:O35"/>
    <mergeCell ref="E2:P2"/>
    <mergeCell ref="M3:P3"/>
    <mergeCell ref="F4:L4"/>
    <mergeCell ref="M4:P4"/>
    <mergeCell ref="F5:L5"/>
    <mergeCell ref="M5:P5"/>
    <mergeCell ref="T7:V7"/>
    <mergeCell ref="D11:P11"/>
    <mergeCell ref="F12:O12"/>
    <mergeCell ref="D18:P18"/>
    <mergeCell ref="E24:P24"/>
    <mergeCell ref="F19:O19"/>
    <mergeCell ref="D74:P74"/>
    <mergeCell ref="E56:P56"/>
    <mergeCell ref="D59:P59"/>
    <mergeCell ref="D66:P66"/>
    <mergeCell ref="E72:P72"/>
    <mergeCell ref="D73:H73"/>
  </mergeCells>
  <conditionalFormatting sqref="F75:O75 I73:O73 F13:O16 F20:O24 F29:O32 F36:O40 F61:O64 F68:O72 F45:O48 F52:O56">
    <cfRule type="colorScale" priority="506">
      <colorScale>
        <cfvo type="num" val="0"/>
        <cfvo type="num" val="5"/>
        <cfvo type="num" val="10"/>
        <color rgb="FF00B050"/>
        <color rgb="FFFFFF00"/>
        <color rgb="FFFF0000"/>
      </colorScale>
    </cfRule>
  </conditionalFormatting>
  <conditionalFormatting sqref="N24 N73 N75">
    <cfRule type="expression" dxfId="299" priority="505" stopIfTrue="1">
      <formula>IF($T24&lt;9,TRUE,)</formula>
    </cfRule>
  </conditionalFormatting>
  <conditionalFormatting sqref="M24 M73 M75">
    <cfRule type="expression" dxfId="298" priority="504" stopIfTrue="1">
      <formula>IF($T24&lt;8,TRUE,)</formula>
    </cfRule>
  </conditionalFormatting>
  <conditionalFormatting sqref="L24 L73 L75">
    <cfRule type="expression" dxfId="297" priority="503" stopIfTrue="1">
      <formula>IF($T24&lt;7,TRUE,)</formula>
    </cfRule>
  </conditionalFormatting>
  <conditionalFormatting sqref="K24 K73 K75">
    <cfRule type="expression" dxfId="296" priority="502" stopIfTrue="1">
      <formula>IF($T24&lt;6,TRUE,)</formula>
    </cfRule>
  </conditionalFormatting>
  <conditionalFormatting sqref="J24 J73 J75">
    <cfRule type="expression" dxfId="295" priority="501" stopIfTrue="1">
      <formula>IF($T24&lt;5,TRUE,)</formula>
    </cfRule>
  </conditionalFormatting>
  <conditionalFormatting sqref="I24 I73 I75">
    <cfRule type="expression" dxfId="294" priority="500" stopIfTrue="1">
      <formula>IF($T24&lt;4,TRUE,)</formula>
    </cfRule>
  </conditionalFormatting>
  <conditionalFormatting sqref="H24 H75">
    <cfRule type="expression" dxfId="293" priority="499" stopIfTrue="1">
      <formula>IF($T24&lt;3,TRUE,)</formula>
    </cfRule>
  </conditionalFormatting>
  <conditionalFormatting sqref="G24 G75">
    <cfRule type="expression" dxfId="292" priority="498" stopIfTrue="1">
      <formula>IF($T24&lt;2,TRUE,)</formula>
    </cfRule>
  </conditionalFormatting>
  <conditionalFormatting sqref="F24 F75">
    <cfRule type="expression" dxfId="291" priority="497" stopIfTrue="1">
      <formula>IF($T24&lt;1,TRUE,)</formula>
    </cfRule>
  </conditionalFormatting>
  <conditionalFormatting sqref="O24 O73 O75">
    <cfRule type="expression" dxfId="290" priority="496" stopIfTrue="1">
      <formula>IF($T24&lt;10,TRUE,)</formula>
    </cfRule>
  </conditionalFormatting>
  <conditionalFormatting sqref="N13:N14">
    <cfRule type="expression" dxfId="289" priority="494" stopIfTrue="1">
      <formula>IF($T13&lt;9,TRUE,)</formula>
    </cfRule>
  </conditionalFormatting>
  <conditionalFormatting sqref="M13:M14">
    <cfRule type="expression" dxfId="288" priority="493" stopIfTrue="1">
      <formula>IF($T13&lt;8,TRUE,)</formula>
    </cfRule>
  </conditionalFormatting>
  <conditionalFormatting sqref="L13:L14">
    <cfRule type="expression" dxfId="287" priority="492" stopIfTrue="1">
      <formula>IF($T13&lt;7,TRUE,)</formula>
    </cfRule>
  </conditionalFormatting>
  <conditionalFormatting sqref="K13:K14">
    <cfRule type="expression" dxfId="286" priority="491" stopIfTrue="1">
      <formula>IF($T13&lt;6,TRUE,)</formula>
    </cfRule>
  </conditionalFormatting>
  <conditionalFormatting sqref="J13:J14">
    <cfRule type="expression" dxfId="285" priority="490" stopIfTrue="1">
      <formula>IF($T13&lt;5,TRUE,)</formula>
    </cfRule>
  </conditionalFormatting>
  <conditionalFormatting sqref="I13:I14">
    <cfRule type="expression" dxfId="284" priority="489" stopIfTrue="1">
      <formula>IF($T13&lt;4,TRUE,)</formula>
    </cfRule>
  </conditionalFormatting>
  <conditionalFormatting sqref="H13:H14">
    <cfRule type="expression" dxfId="283" priority="488" stopIfTrue="1">
      <formula>IF($T13&lt;3,TRUE,)</formula>
    </cfRule>
  </conditionalFormatting>
  <conditionalFormatting sqref="G13:G14">
    <cfRule type="expression" dxfId="282" priority="487" stopIfTrue="1">
      <formula>IF($T13&lt;2,TRUE,)</formula>
    </cfRule>
  </conditionalFormatting>
  <conditionalFormatting sqref="F13:F14">
    <cfRule type="expression" dxfId="281" priority="486" stopIfTrue="1">
      <formula>IF($T13&lt;1,TRUE,)</formula>
    </cfRule>
  </conditionalFormatting>
  <conditionalFormatting sqref="O13:O14">
    <cfRule type="expression" dxfId="280" priority="485" stopIfTrue="1">
      <formula>IF($T13&lt;10,TRUE,)</formula>
    </cfRule>
  </conditionalFormatting>
  <conditionalFormatting sqref="N20:N21">
    <cfRule type="expression" dxfId="279" priority="483" stopIfTrue="1">
      <formula>IF($T20&lt;9,TRUE,)</formula>
    </cfRule>
  </conditionalFormatting>
  <conditionalFormatting sqref="M20:M21">
    <cfRule type="expression" dxfId="278" priority="482" stopIfTrue="1">
      <formula>IF($T20&lt;8,TRUE,)</formula>
    </cfRule>
  </conditionalFormatting>
  <conditionalFormatting sqref="L20:L21">
    <cfRule type="expression" dxfId="277" priority="481" stopIfTrue="1">
      <formula>IF($T20&lt;7,TRUE,)</formula>
    </cfRule>
  </conditionalFormatting>
  <conditionalFormatting sqref="K20:K21">
    <cfRule type="expression" dxfId="276" priority="480" stopIfTrue="1">
      <formula>IF($T20&lt;6,TRUE,)</formula>
    </cfRule>
  </conditionalFormatting>
  <conditionalFormatting sqref="J20:J21">
    <cfRule type="expression" dxfId="275" priority="479" stopIfTrue="1">
      <formula>IF($T20&lt;5,TRUE,)</formula>
    </cfRule>
  </conditionalFormatting>
  <conditionalFormatting sqref="I20:I21">
    <cfRule type="expression" dxfId="274" priority="478" stopIfTrue="1">
      <formula>IF($T20&lt;4,TRUE,)</formula>
    </cfRule>
  </conditionalFormatting>
  <conditionalFormatting sqref="H20:H21">
    <cfRule type="expression" dxfId="273" priority="477" stopIfTrue="1">
      <formula>IF($T20&lt;3,TRUE,)</formula>
    </cfRule>
  </conditionalFormatting>
  <conditionalFormatting sqref="G20:G21">
    <cfRule type="expression" dxfId="272" priority="476" stopIfTrue="1">
      <formula>IF($T20&lt;2,TRUE,)</formula>
    </cfRule>
  </conditionalFormatting>
  <conditionalFormatting sqref="F20:F21">
    <cfRule type="expression" dxfId="271" priority="475" stopIfTrue="1">
      <formula>IF($T20&lt;1,TRUE,)</formula>
    </cfRule>
  </conditionalFormatting>
  <conditionalFormatting sqref="O20:O21">
    <cfRule type="expression" dxfId="270" priority="474" stopIfTrue="1">
      <formula>IF($T20&lt;10,TRUE,)</formula>
    </cfRule>
  </conditionalFormatting>
  <conditionalFormatting sqref="N40">
    <cfRule type="expression" dxfId="269" priority="472" stopIfTrue="1">
      <formula>IF($T40&lt;9,TRUE,)</formula>
    </cfRule>
  </conditionalFormatting>
  <conditionalFormatting sqref="M40">
    <cfRule type="expression" dxfId="268" priority="471" stopIfTrue="1">
      <formula>IF($T40&lt;8,TRUE,)</formula>
    </cfRule>
  </conditionalFormatting>
  <conditionalFormatting sqref="L40">
    <cfRule type="expression" dxfId="267" priority="470" stopIfTrue="1">
      <formula>IF($T40&lt;7,TRUE,)</formula>
    </cfRule>
  </conditionalFormatting>
  <conditionalFormatting sqref="K40">
    <cfRule type="expression" dxfId="266" priority="469" stopIfTrue="1">
      <formula>IF($T40&lt;6,TRUE,)</formula>
    </cfRule>
  </conditionalFormatting>
  <conditionalFormatting sqref="J40">
    <cfRule type="expression" dxfId="265" priority="468" stopIfTrue="1">
      <formula>IF($T40&lt;5,TRUE,)</formula>
    </cfRule>
  </conditionalFormatting>
  <conditionalFormatting sqref="I40">
    <cfRule type="expression" dxfId="264" priority="467" stopIfTrue="1">
      <formula>IF($T40&lt;4,TRUE,)</formula>
    </cfRule>
  </conditionalFormatting>
  <conditionalFormatting sqref="H40">
    <cfRule type="expression" dxfId="263" priority="466" stopIfTrue="1">
      <formula>IF($T40&lt;3,TRUE,)</formula>
    </cfRule>
  </conditionalFormatting>
  <conditionalFormatting sqref="G40">
    <cfRule type="expression" dxfId="262" priority="465" stopIfTrue="1">
      <formula>IF($T40&lt;2,TRUE,)</formula>
    </cfRule>
  </conditionalFormatting>
  <conditionalFormatting sqref="F40">
    <cfRule type="expression" dxfId="261" priority="464" stopIfTrue="1">
      <formula>IF($T40&lt;1,TRUE,)</formula>
    </cfRule>
  </conditionalFormatting>
  <conditionalFormatting sqref="O40">
    <cfRule type="expression" dxfId="260" priority="463" stopIfTrue="1">
      <formula>IF($T40&lt;10,TRUE,)</formula>
    </cfRule>
  </conditionalFormatting>
  <conditionalFormatting sqref="N29:N30">
    <cfRule type="expression" dxfId="259" priority="461" stopIfTrue="1">
      <formula>IF($T29&lt;9,TRUE,)</formula>
    </cfRule>
  </conditionalFormatting>
  <conditionalFormatting sqref="M29:M30">
    <cfRule type="expression" dxfId="258" priority="460" stopIfTrue="1">
      <formula>IF($T29&lt;8,TRUE,)</formula>
    </cfRule>
  </conditionalFormatting>
  <conditionalFormatting sqref="L29:L30">
    <cfRule type="expression" dxfId="257" priority="459" stopIfTrue="1">
      <formula>IF($T29&lt;7,TRUE,)</formula>
    </cfRule>
  </conditionalFormatting>
  <conditionalFormatting sqref="K29:K30">
    <cfRule type="expression" dxfId="256" priority="458" stopIfTrue="1">
      <formula>IF($T29&lt;6,TRUE,)</formula>
    </cfRule>
  </conditionalFormatting>
  <conditionalFormatting sqref="J29:J30">
    <cfRule type="expression" dxfId="255" priority="457" stopIfTrue="1">
      <formula>IF($T29&lt;5,TRUE,)</formula>
    </cfRule>
  </conditionalFormatting>
  <conditionalFormatting sqref="I29:I30">
    <cfRule type="expression" dxfId="254" priority="456" stopIfTrue="1">
      <formula>IF($T29&lt;4,TRUE,)</formula>
    </cfRule>
  </conditionalFormatting>
  <conditionalFormatting sqref="H29:H30">
    <cfRule type="expression" dxfId="253" priority="455" stopIfTrue="1">
      <formula>IF($T29&lt;3,TRUE,)</formula>
    </cfRule>
  </conditionalFormatting>
  <conditionalFormatting sqref="G29:G30">
    <cfRule type="expression" dxfId="252" priority="454" stopIfTrue="1">
      <formula>IF($T29&lt;2,TRUE,)</formula>
    </cfRule>
  </conditionalFormatting>
  <conditionalFormatting sqref="F29:F30">
    <cfRule type="expression" dxfId="251" priority="453" stopIfTrue="1">
      <formula>IF($T29&lt;1,TRUE,)</formula>
    </cfRule>
  </conditionalFormatting>
  <conditionalFormatting sqref="O29:O30">
    <cfRule type="expression" dxfId="250" priority="452" stopIfTrue="1">
      <formula>IF($T29&lt;10,TRUE,)</formula>
    </cfRule>
  </conditionalFormatting>
  <conditionalFormatting sqref="N36:N37">
    <cfRule type="expression" dxfId="249" priority="450" stopIfTrue="1">
      <formula>IF($T36&lt;9,TRUE,)</formula>
    </cfRule>
  </conditionalFormatting>
  <conditionalFormatting sqref="M36:M37">
    <cfRule type="expression" dxfId="248" priority="449" stopIfTrue="1">
      <formula>IF($T36&lt;8,TRUE,)</formula>
    </cfRule>
  </conditionalFormatting>
  <conditionalFormatting sqref="L36:L37">
    <cfRule type="expression" dxfId="247" priority="448" stopIfTrue="1">
      <formula>IF($T36&lt;7,TRUE,)</formula>
    </cfRule>
  </conditionalFormatting>
  <conditionalFormatting sqref="K36:K37">
    <cfRule type="expression" dxfId="246" priority="447" stopIfTrue="1">
      <formula>IF($T36&lt;6,TRUE,)</formula>
    </cfRule>
  </conditionalFormatting>
  <conditionalFormatting sqref="J36:J37">
    <cfRule type="expression" dxfId="245" priority="446" stopIfTrue="1">
      <formula>IF($T36&lt;5,TRUE,)</formula>
    </cfRule>
  </conditionalFormatting>
  <conditionalFormatting sqref="I36:I37">
    <cfRule type="expression" dxfId="244" priority="445" stopIfTrue="1">
      <formula>IF($T36&lt;4,TRUE,)</formula>
    </cfRule>
  </conditionalFormatting>
  <conditionalFormatting sqref="H36:H37">
    <cfRule type="expression" dxfId="243" priority="444" stopIfTrue="1">
      <formula>IF($T36&lt;3,TRUE,)</formula>
    </cfRule>
  </conditionalFormatting>
  <conditionalFormatting sqref="G36:G37">
    <cfRule type="expression" dxfId="242" priority="443" stopIfTrue="1">
      <formula>IF($T36&lt;2,TRUE,)</formula>
    </cfRule>
  </conditionalFormatting>
  <conditionalFormatting sqref="F36:F37">
    <cfRule type="expression" dxfId="241" priority="442" stopIfTrue="1">
      <formula>IF($T36&lt;1,TRUE,)</formula>
    </cfRule>
  </conditionalFormatting>
  <conditionalFormatting sqref="O36:O37">
    <cfRule type="expression" dxfId="240" priority="441" stopIfTrue="1">
      <formula>IF($T36&lt;10,TRUE,)</formula>
    </cfRule>
  </conditionalFormatting>
  <conditionalFormatting sqref="N15:N16">
    <cfRule type="expression" dxfId="239" priority="439" stopIfTrue="1">
      <formula>IF($T15&lt;9,TRUE,)</formula>
    </cfRule>
  </conditionalFormatting>
  <conditionalFormatting sqref="M15:M16">
    <cfRule type="expression" dxfId="238" priority="438" stopIfTrue="1">
      <formula>IF($T15&lt;8,TRUE,)</formula>
    </cfRule>
  </conditionalFormatting>
  <conditionalFormatting sqref="L15:L16">
    <cfRule type="expression" dxfId="237" priority="437" stopIfTrue="1">
      <formula>IF($T15&lt;7,TRUE,)</formula>
    </cfRule>
  </conditionalFormatting>
  <conditionalFormatting sqref="K15:K16">
    <cfRule type="expression" dxfId="236" priority="436" stopIfTrue="1">
      <formula>IF($T15&lt;6,TRUE,)</formula>
    </cfRule>
  </conditionalFormatting>
  <conditionalFormatting sqref="J15:J16">
    <cfRule type="expression" dxfId="235" priority="435" stopIfTrue="1">
      <formula>IF($T15&lt;5,TRUE,)</formula>
    </cfRule>
  </conditionalFormatting>
  <conditionalFormatting sqref="I15:I16">
    <cfRule type="expression" dxfId="234" priority="434" stopIfTrue="1">
      <formula>IF($T15&lt;4,TRUE,)</formula>
    </cfRule>
  </conditionalFormatting>
  <conditionalFormatting sqref="H15:H16">
    <cfRule type="expression" dxfId="233" priority="433" stopIfTrue="1">
      <formula>IF($T15&lt;3,TRUE,)</formula>
    </cfRule>
  </conditionalFormatting>
  <conditionalFormatting sqref="G15:G16">
    <cfRule type="expression" dxfId="232" priority="432" stopIfTrue="1">
      <formula>IF($T15&lt;2,TRUE,)</formula>
    </cfRule>
  </conditionalFormatting>
  <conditionalFormatting sqref="F15:F16">
    <cfRule type="expression" dxfId="231" priority="431" stopIfTrue="1">
      <formula>IF($T15&lt;1,TRUE,)</formula>
    </cfRule>
  </conditionalFormatting>
  <conditionalFormatting sqref="O15:O16">
    <cfRule type="expression" dxfId="230" priority="430" stopIfTrue="1">
      <formula>IF($T15&lt;10,TRUE,)</formula>
    </cfRule>
  </conditionalFormatting>
  <conditionalFormatting sqref="N22:N23">
    <cfRule type="expression" dxfId="229" priority="428" stopIfTrue="1">
      <formula>IF($T22&lt;9,TRUE,)</formula>
    </cfRule>
  </conditionalFormatting>
  <conditionalFormatting sqref="M22:M23">
    <cfRule type="expression" dxfId="228" priority="427" stopIfTrue="1">
      <formula>IF($T22&lt;8,TRUE,)</formula>
    </cfRule>
  </conditionalFormatting>
  <conditionalFormatting sqref="L22:L23">
    <cfRule type="expression" dxfId="227" priority="426" stopIfTrue="1">
      <formula>IF($T22&lt;7,TRUE,)</formula>
    </cfRule>
  </conditionalFormatting>
  <conditionalFormatting sqref="K22:K23">
    <cfRule type="expression" dxfId="226" priority="425" stopIfTrue="1">
      <formula>IF($T22&lt;6,TRUE,)</formula>
    </cfRule>
  </conditionalFormatting>
  <conditionalFormatting sqref="J22:J23">
    <cfRule type="expression" dxfId="225" priority="424" stopIfTrue="1">
      <formula>IF($T22&lt;5,TRUE,)</formula>
    </cfRule>
  </conditionalFormatting>
  <conditionalFormatting sqref="I22:I23">
    <cfRule type="expression" dxfId="224" priority="423" stopIfTrue="1">
      <formula>IF($T22&lt;4,TRUE,)</formula>
    </cfRule>
  </conditionalFormatting>
  <conditionalFormatting sqref="H22:H23">
    <cfRule type="expression" dxfId="223" priority="422" stopIfTrue="1">
      <formula>IF($T22&lt;3,TRUE,)</formula>
    </cfRule>
  </conditionalFormatting>
  <conditionalFormatting sqref="G22:G23">
    <cfRule type="expression" dxfId="222" priority="421" stopIfTrue="1">
      <formula>IF($T22&lt;2,TRUE,)</formula>
    </cfRule>
  </conditionalFormatting>
  <conditionalFormatting sqref="F22:F23">
    <cfRule type="expression" dxfId="221" priority="420" stopIfTrue="1">
      <formula>IF($T22&lt;1,TRUE,)</formula>
    </cfRule>
  </conditionalFormatting>
  <conditionalFormatting sqref="O22:O23">
    <cfRule type="expression" dxfId="220" priority="419" stopIfTrue="1">
      <formula>IF($T22&lt;10,TRUE,)</formula>
    </cfRule>
  </conditionalFormatting>
  <conditionalFormatting sqref="N31:N32">
    <cfRule type="expression" dxfId="219" priority="417" stopIfTrue="1">
      <formula>IF($T31&lt;9,TRUE,)</formula>
    </cfRule>
  </conditionalFormatting>
  <conditionalFormatting sqref="M31:M32">
    <cfRule type="expression" dxfId="218" priority="416" stopIfTrue="1">
      <formula>IF($T31&lt;8,TRUE,)</formula>
    </cfRule>
  </conditionalFormatting>
  <conditionalFormatting sqref="L31:L32">
    <cfRule type="expression" dxfId="217" priority="415" stopIfTrue="1">
      <formula>IF($T31&lt;7,TRUE,)</formula>
    </cfRule>
  </conditionalFormatting>
  <conditionalFormatting sqref="K31:K32">
    <cfRule type="expression" dxfId="216" priority="414" stopIfTrue="1">
      <formula>IF($T31&lt;6,TRUE,)</formula>
    </cfRule>
  </conditionalFormatting>
  <conditionalFormatting sqref="J31:J32">
    <cfRule type="expression" dxfId="215" priority="413" stopIfTrue="1">
      <formula>IF($T31&lt;5,TRUE,)</formula>
    </cfRule>
  </conditionalFormatting>
  <conditionalFormatting sqref="I31:I32">
    <cfRule type="expression" dxfId="214" priority="412" stopIfTrue="1">
      <formula>IF($T31&lt;4,TRUE,)</formula>
    </cfRule>
  </conditionalFormatting>
  <conditionalFormatting sqref="H31:H32">
    <cfRule type="expression" dxfId="213" priority="411" stopIfTrue="1">
      <formula>IF($T31&lt;3,TRUE,)</formula>
    </cfRule>
  </conditionalFormatting>
  <conditionalFormatting sqref="G31:G32">
    <cfRule type="expression" dxfId="212" priority="410" stopIfTrue="1">
      <formula>IF($T31&lt;2,TRUE,)</formula>
    </cfRule>
  </conditionalFormatting>
  <conditionalFormatting sqref="F31:F32">
    <cfRule type="expression" dxfId="211" priority="409" stopIfTrue="1">
      <formula>IF($T31&lt;1,TRUE,)</formula>
    </cfRule>
  </conditionalFormatting>
  <conditionalFormatting sqref="O31:O32">
    <cfRule type="expression" dxfId="210" priority="408" stopIfTrue="1">
      <formula>IF($T31&lt;10,TRUE,)</formula>
    </cfRule>
  </conditionalFormatting>
  <conditionalFormatting sqref="N38:N39">
    <cfRule type="expression" dxfId="209" priority="406" stopIfTrue="1">
      <formula>IF($T38&lt;9,TRUE,)</formula>
    </cfRule>
  </conditionalFormatting>
  <conditionalFormatting sqref="M38:M39">
    <cfRule type="expression" dxfId="208" priority="405" stopIfTrue="1">
      <formula>IF($T38&lt;8,TRUE,)</formula>
    </cfRule>
  </conditionalFormatting>
  <conditionalFormatting sqref="L38:L39">
    <cfRule type="expression" dxfId="207" priority="404" stopIfTrue="1">
      <formula>IF($T38&lt;7,TRUE,)</formula>
    </cfRule>
  </conditionalFormatting>
  <conditionalFormatting sqref="K38:K39">
    <cfRule type="expression" dxfId="206" priority="403" stopIfTrue="1">
      <formula>IF($T38&lt;6,TRUE,)</formula>
    </cfRule>
  </conditionalFormatting>
  <conditionalFormatting sqref="J38:J39">
    <cfRule type="expression" dxfId="205" priority="402" stopIfTrue="1">
      <formula>IF($T38&lt;5,TRUE,)</formula>
    </cfRule>
  </conditionalFormatting>
  <conditionalFormatting sqref="I38:I39">
    <cfRule type="expression" dxfId="204" priority="401" stopIfTrue="1">
      <formula>IF($T38&lt;4,TRUE,)</formula>
    </cfRule>
  </conditionalFormatting>
  <conditionalFormatting sqref="H38:H39">
    <cfRule type="expression" dxfId="203" priority="400" stopIfTrue="1">
      <formula>IF($T38&lt;3,TRUE,)</formula>
    </cfRule>
  </conditionalFormatting>
  <conditionalFormatting sqref="G38:G39">
    <cfRule type="expression" dxfId="202" priority="399" stopIfTrue="1">
      <formula>IF($T38&lt;2,TRUE,)</formula>
    </cfRule>
  </conditionalFormatting>
  <conditionalFormatting sqref="F38:F39">
    <cfRule type="expression" dxfId="201" priority="398" stopIfTrue="1">
      <formula>IF($T38&lt;1,TRUE,)</formula>
    </cfRule>
  </conditionalFormatting>
  <conditionalFormatting sqref="O38:O39">
    <cfRule type="expression" dxfId="200" priority="397" stopIfTrue="1">
      <formula>IF($T38&lt;10,TRUE,)</formula>
    </cfRule>
  </conditionalFormatting>
  <conditionalFormatting sqref="N56">
    <cfRule type="expression" dxfId="199" priority="395" stopIfTrue="1">
      <formula>IF($T56&lt;9,TRUE,)</formula>
    </cfRule>
  </conditionalFormatting>
  <conditionalFormatting sqref="M56">
    <cfRule type="expression" dxfId="198" priority="394" stopIfTrue="1">
      <formula>IF($T56&lt;8,TRUE,)</formula>
    </cfRule>
  </conditionalFormatting>
  <conditionalFormatting sqref="L56">
    <cfRule type="expression" dxfId="197" priority="393" stopIfTrue="1">
      <formula>IF($T56&lt;7,TRUE,)</formula>
    </cfRule>
  </conditionalFormatting>
  <conditionalFormatting sqref="K56">
    <cfRule type="expression" dxfId="196" priority="392" stopIfTrue="1">
      <formula>IF($T56&lt;6,TRUE,)</formula>
    </cfRule>
  </conditionalFormatting>
  <conditionalFormatting sqref="J56">
    <cfRule type="expression" dxfId="195" priority="391" stopIfTrue="1">
      <formula>IF($T56&lt;5,TRUE,)</formula>
    </cfRule>
  </conditionalFormatting>
  <conditionalFormatting sqref="I56">
    <cfRule type="expression" dxfId="194" priority="390" stopIfTrue="1">
      <formula>IF($T56&lt;4,TRUE,)</formula>
    </cfRule>
  </conditionalFormatting>
  <conditionalFormatting sqref="H56">
    <cfRule type="expression" dxfId="193" priority="389" stopIfTrue="1">
      <formula>IF($T56&lt;3,TRUE,)</formula>
    </cfRule>
  </conditionalFormatting>
  <conditionalFormatting sqref="G56">
    <cfRule type="expression" dxfId="192" priority="388" stopIfTrue="1">
      <formula>IF($T56&lt;2,TRUE,)</formula>
    </cfRule>
  </conditionalFormatting>
  <conditionalFormatting sqref="F56">
    <cfRule type="expression" dxfId="191" priority="387" stopIfTrue="1">
      <formula>IF($T56&lt;1,TRUE,)</formula>
    </cfRule>
  </conditionalFormatting>
  <conditionalFormatting sqref="O56">
    <cfRule type="expression" dxfId="190" priority="386" stopIfTrue="1">
      <formula>IF($T56&lt;10,TRUE,)</formula>
    </cfRule>
  </conditionalFormatting>
  <conditionalFormatting sqref="N45:N46">
    <cfRule type="expression" dxfId="189" priority="384" stopIfTrue="1">
      <formula>IF($T45&lt;9,TRUE,)</formula>
    </cfRule>
  </conditionalFormatting>
  <conditionalFormatting sqref="M45:M46">
    <cfRule type="expression" dxfId="188" priority="383" stopIfTrue="1">
      <formula>IF($T45&lt;8,TRUE,)</formula>
    </cfRule>
  </conditionalFormatting>
  <conditionalFormatting sqref="L45:L46">
    <cfRule type="expression" dxfId="187" priority="382" stopIfTrue="1">
      <formula>IF($T45&lt;7,TRUE,)</formula>
    </cfRule>
  </conditionalFormatting>
  <conditionalFormatting sqref="K45:K46">
    <cfRule type="expression" dxfId="186" priority="381" stopIfTrue="1">
      <formula>IF($T45&lt;6,TRUE,)</formula>
    </cfRule>
  </conditionalFormatting>
  <conditionalFormatting sqref="J45:J46">
    <cfRule type="expression" dxfId="185" priority="380" stopIfTrue="1">
      <formula>IF($T45&lt;5,TRUE,)</formula>
    </cfRule>
  </conditionalFormatting>
  <conditionalFormatting sqref="I45:I46">
    <cfRule type="expression" dxfId="184" priority="379" stopIfTrue="1">
      <formula>IF($T45&lt;4,TRUE,)</formula>
    </cfRule>
  </conditionalFormatting>
  <conditionalFormatting sqref="H45:H46">
    <cfRule type="expression" dxfId="183" priority="378" stopIfTrue="1">
      <formula>IF($T45&lt;3,TRUE,)</formula>
    </cfRule>
  </conditionalFormatting>
  <conditionalFormatting sqref="G45:G46">
    <cfRule type="expression" dxfId="182" priority="377" stopIfTrue="1">
      <formula>IF($T45&lt;2,TRUE,)</formula>
    </cfRule>
  </conditionalFormatting>
  <conditionalFormatting sqref="F45:F46">
    <cfRule type="expression" dxfId="181" priority="376" stopIfTrue="1">
      <formula>IF($T45&lt;1,TRUE,)</formula>
    </cfRule>
  </conditionalFormatting>
  <conditionalFormatting sqref="O45:O46">
    <cfRule type="expression" dxfId="180" priority="375" stopIfTrue="1">
      <formula>IF($T45&lt;10,TRUE,)</formula>
    </cfRule>
  </conditionalFormatting>
  <conditionalFormatting sqref="N52:N53">
    <cfRule type="expression" dxfId="179" priority="373" stopIfTrue="1">
      <formula>IF($T52&lt;9,TRUE,)</formula>
    </cfRule>
  </conditionalFormatting>
  <conditionalFormatting sqref="M52:M53">
    <cfRule type="expression" dxfId="178" priority="372" stopIfTrue="1">
      <formula>IF($T52&lt;8,TRUE,)</formula>
    </cfRule>
  </conditionalFormatting>
  <conditionalFormatting sqref="L52:L53">
    <cfRule type="expression" dxfId="177" priority="371" stopIfTrue="1">
      <formula>IF($T52&lt;7,TRUE,)</formula>
    </cfRule>
  </conditionalFormatting>
  <conditionalFormatting sqref="K52:K53">
    <cfRule type="expression" dxfId="176" priority="370" stopIfTrue="1">
      <formula>IF($T52&lt;6,TRUE,)</formula>
    </cfRule>
  </conditionalFormatting>
  <conditionalFormatting sqref="J52:J53">
    <cfRule type="expression" dxfId="175" priority="369" stopIfTrue="1">
      <formula>IF($T52&lt;5,TRUE,)</formula>
    </cfRule>
  </conditionalFormatting>
  <conditionalFormatting sqref="I52:I53">
    <cfRule type="expression" dxfId="174" priority="368" stopIfTrue="1">
      <formula>IF($T52&lt;4,TRUE,)</formula>
    </cfRule>
  </conditionalFormatting>
  <conditionalFormatting sqref="H52:H53">
    <cfRule type="expression" dxfId="173" priority="367" stopIfTrue="1">
      <formula>IF($T52&lt;3,TRUE,)</formula>
    </cfRule>
  </conditionalFormatting>
  <conditionalFormatting sqref="G52:G53">
    <cfRule type="expression" dxfId="172" priority="366" stopIfTrue="1">
      <formula>IF($T52&lt;2,TRUE,)</formula>
    </cfRule>
  </conditionalFormatting>
  <conditionalFormatting sqref="F52:F53">
    <cfRule type="expression" dxfId="171" priority="365" stopIfTrue="1">
      <formula>IF($T52&lt;1,TRUE,)</formula>
    </cfRule>
  </conditionalFormatting>
  <conditionalFormatting sqref="O52:O53">
    <cfRule type="expression" dxfId="170" priority="364" stopIfTrue="1">
      <formula>IF($T52&lt;10,TRUE,)</formula>
    </cfRule>
  </conditionalFormatting>
  <conditionalFormatting sqref="N47:N48">
    <cfRule type="expression" dxfId="169" priority="362" stopIfTrue="1">
      <formula>IF($T47&lt;9,TRUE,)</formula>
    </cfRule>
  </conditionalFormatting>
  <conditionalFormatting sqref="M47:M48">
    <cfRule type="expression" dxfId="168" priority="361" stopIfTrue="1">
      <formula>IF($T47&lt;8,TRUE,)</formula>
    </cfRule>
  </conditionalFormatting>
  <conditionalFormatting sqref="L47:L48">
    <cfRule type="expression" dxfId="167" priority="360" stopIfTrue="1">
      <formula>IF($T47&lt;7,TRUE,)</formula>
    </cfRule>
  </conditionalFormatting>
  <conditionalFormatting sqref="K47:K48">
    <cfRule type="expression" dxfId="166" priority="359" stopIfTrue="1">
      <formula>IF($T47&lt;6,TRUE,)</formula>
    </cfRule>
  </conditionalFormatting>
  <conditionalFormatting sqref="J47:J48">
    <cfRule type="expression" dxfId="165" priority="358" stopIfTrue="1">
      <formula>IF($T47&lt;5,TRUE,)</formula>
    </cfRule>
  </conditionalFormatting>
  <conditionalFormatting sqref="I47:I48">
    <cfRule type="expression" dxfId="164" priority="357" stopIfTrue="1">
      <formula>IF($T47&lt;4,TRUE,)</formula>
    </cfRule>
  </conditionalFormatting>
  <conditionalFormatting sqref="H47:H48">
    <cfRule type="expression" dxfId="163" priority="356" stopIfTrue="1">
      <formula>IF($T47&lt;3,TRUE,)</formula>
    </cfRule>
  </conditionalFormatting>
  <conditionalFormatting sqref="G47:G48">
    <cfRule type="expression" dxfId="162" priority="355" stopIfTrue="1">
      <formula>IF($T47&lt;2,TRUE,)</formula>
    </cfRule>
  </conditionalFormatting>
  <conditionalFormatting sqref="F47:F48">
    <cfRule type="expression" dxfId="161" priority="354" stopIfTrue="1">
      <formula>IF($T47&lt;1,TRUE,)</formula>
    </cfRule>
  </conditionalFormatting>
  <conditionalFormatting sqref="O47:O48">
    <cfRule type="expression" dxfId="160" priority="353" stopIfTrue="1">
      <formula>IF($T47&lt;10,TRUE,)</formula>
    </cfRule>
  </conditionalFormatting>
  <conditionalFormatting sqref="N54:N55">
    <cfRule type="expression" dxfId="159" priority="351" stopIfTrue="1">
      <formula>IF($T54&lt;9,TRUE,)</formula>
    </cfRule>
  </conditionalFormatting>
  <conditionalFormatting sqref="M54:M55">
    <cfRule type="expression" dxfId="158" priority="350" stopIfTrue="1">
      <formula>IF($T54&lt;8,TRUE,)</formula>
    </cfRule>
  </conditionalFormatting>
  <conditionalFormatting sqref="L54:L55">
    <cfRule type="expression" dxfId="157" priority="349" stopIfTrue="1">
      <formula>IF($T54&lt;7,TRUE,)</formula>
    </cfRule>
  </conditionalFormatting>
  <conditionalFormatting sqref="K54:K55">
    <cfRule type="expression" dxfId="156" priority="348" stopIfTrue="1">
      <formula>IF($T54&lt;6,TRUE,)</formula>
    </cfRule>
  </conditionalFormatting>
  <conditionalFormatting sqref="J54:J55">
    <cfRule type="expression" dxfId="155" priority="347" stopIfTrue="1">
      <formula>IF($T54&lt;5,TRUE,)</formula>
    </cfRule>
  </conditionalFormatting>
  <conditionalFormatting sqref="I54:I55">
    <cfRule type="expression" dxfId="154" priority="346" stopIfTrue="1">
      <formula>IF($T54&lt;4,TRUE,)</formula>
    </cfRule>
  </conditionalFormatting>
  <conditionalFormatting sqref="H54:H55">
    <cfRule type="expression" dxfId="153" priority="345" stopIfTrue="1">
      <formula>IF($T54&lt;3,TRUE,)</formula>
    </cfRule>
  </conditionalFormatting>
  <conditionalFormatting sqref="G54:G55">
    <cfRule type="expression" dxfId="152" priority="344" stopIfTrue="1">
      <formula>IF($T54&lt;2,TRUE,)</formula>
    </cfRule>
  </conditionalFormatting>
  <conditionalFormatting sqref="F54:F55">
    <cfRule type="expression" dxfId="151" priority="343" stopIfTrue="1">
      <formula>IF($T54&lt;1,TRUE,)</formula>
    </cfRule>
  </conditionalFormatting>
  <conditionalFormatting sqref="O54:O55">
    <cfRule type="expression" dxfId="150" priority="342" stopIfTrue="1">
      <formula>IF($T54&lt;10,TRUE,)</formula>
    </cfRule>
  </conditionalFormatting>
  <conditionalFormatting sqref="N72">
    <cfRule type="expression" dxfId="149" priority="329" stopIfTrue="1">
      <formula>IF($T72&lt;9,TRUE,)</formula>
    </cfRule>
  </conditionalFormatting>
  <conditionalFormatting sqref="M72">
    <cfRule type="expression" dxfId="148" priority="328" stopIfTrue="1">
      <formula>IF($T72&lt;8,TRUE,)</formula>
    </cfRule>
  </conditionalFormatting>
  <conditionalFormatting sqref="L72">
    <cfRule type="expression" dxfId="147" priority="327" stopIfTrue="1">
      <formula>IF($T72&lt;7,TRUE,)</formula>
    </cfRule>
  </conditionalFormatting>
  <conditionalFormatting sqref="K72">
    <cfRule type="expression" dxfId="146" priority="326" stopIfTrue="1">
      <formula>IF($T72&lt;6,TRUE,)</formula>
    </cfRule>
  </conditionalFormatting>
  <conditionalFormatting sqref="J72">
    <cfRule type="expression" dxfId="145" priority="325" stopIfTrue="1">
      <formula>IF($T72&lt;5,TRUE,)</formula>
    </cfRule>
  </conditionalFormatting>
  <conditionalFormatting sqref="I72">
    <cfRule type="expression" dxfId="144" priority="324" stopIfTrue="1">
      <formula>IF($T72&lt;4,TRUE,)</formula>
    </cfRule>
  </conditionalFormatting>
  <conditionalFormatting sqref="H72">
    <cfRule type="expression" dxfId="143" priority="323" stopIfTrue="1">
      <formula>IF($T72&lt;3,TRUE,)</formula>
    </cfRule>
  </conditionalFormatting>
  <conditionalFormatting sqref="G72">
    <cfRule type="expression" dxfId="142" priority="322" stopIfTrue="1">
      <formula>IF($T72&lt;2,TRUE,)</formula>
    </cfRule>
  </conditionalFormatting>
  <conditionalFormatting sqref="F72">
    <cfRule type="expression" dxfId="141" priority="321" stopIfTrue="1">
      <formula>IF($T72&lt;1,TRUE,)</formula>
    </cfRule>
  </conditionalFormatting>
  <conditionalFormatting sqref="O72">
    <cfRule type="expression" dxfId="140" priority="320" stopIfTrue="1">
      <formula>IF($T72&lt;10,TRUE,)</formula>
    </cfRule>
  </conditionalFormatting>
  <conditionalFormatting sqref="N61:N62">
    <cfRule type="expression" dxfId="139" priority="318" stopIfTrue="1">
      <formula>IF($T61&lt;9,TRUE,)</formula>
    </cfRule>
  </conditionalFormatting>
  <conditionalFormatting sqref="M61:M62">
    <cfRule type="expression" dxfId="138" priority="317" stopIfTrue="1">
      <formula>IF($T61&lt;8,TRUE,)</formula>
    </cfRule>
  </conditionalFormatting>
  <conditionalFormatting sqref="L61:L62">
    <cfRule type="expression" dxfId="137" priority="316" stopIfTrue="1">
      <formula>IF($T61&lt;7,TRUE,)</formula>
    </cfRule>
  </conditionalFormatting>
  <conditionalFormatting sqref="K61:K62">
    <cfRule type="expression" dxfId="136" priority="315" stopIfTrue="1">
      <formula>IF($T61&lt;6,TRUE,)</formula>
    </cfRule>
  </conditionalFormatting>
  <conditionalFormatting sqref="J61:J62">
    <cfRule type="expression" dxfId="135" priority="314" stopIfTrue="1">
      <formula>IF($T61&lt;5,TRUE,)</formula>
    </cfRule>
  </conditionalFormatting>
  <conditionalFormatting sqref="I61:I62">
    <cfRule type="expression" dxfId="134" priority="313" stopIfTrue="1">
      <formula>IF($T61&lt;4,TRUE,)</formula>
    </cfRule>
  </conditionalFormatting>
  <conditionalFormatting sqref="H61:H62">
    <cfRule type="expression" dxfId="133" priority="312" stopIfTrue="1">
      <formula>IF($T61&lt;3,TRUE,)</formula>
    </cfRule>
  </conditionalFormatting>
  <conditionalFormatting sqref="G61:G62">
    <cfRule type="expression" dxfId="132" priority="311" stopIfTrue="1">
      <formula>IF($T61&lt;2,TRUE,)</formula>
    </cfRule>
  </conditionalFormatting>
  <conditionalFormatting sqref="F61:F62">
    <cfRule type="expression" dxfId="131" priority="310" stopIfTrue="1">
      <formula>IF($T61&lt;1,TRUE,)</formula>
    </cfRule>
  </conditionalFormatting>
  <conditionalFormatting sqref="O61:O62">
    <cfRule type="expression" dxfId="130" priority="309" stopIfTrue="1">
      <formula>IF($T61&lt;10,TRUE,)</formula>
    </cfRule>
  </conditionalFormatting>
  <conditionalFormatting sqref="N68:N69">
    <cfRule type="expression" dxfId="129" priority="307" stopIfTrue="1">
      <formula>IF($T68&lt;9,TRUE,)</formula>
    </cfRule>
  </conditionalFormatting>
  <conditionalFormatting sqref="M68:M69">
    <cfRule type="expression" dxfId="128" priority="306" stopIfTrue="1">
      <formula>IF($T68&lt;8,TRUE,)</formula>
    </cfRule>
  </conditionalFormatting>
  <conditionalFormatting sqref="L68:L69">
    <cfRule type="expression" dxfId="127" priority="305" stopIfTrue="1">
      <formula>IF($T68&lt;7,TRUE,)</formula>
    </cfRule>
  </conditionalFormatting>
  <conditionalFormatting sqref="K68:K69">
    <cfRule type="expression" dxfId="126" priority="304" stopIfTrue="1">
      <formula>IF($T68&lt;6,TRUE,)</formula>
    </cfRule>
  </conditionalFormatting>
  <conditionalFormatting sqref="J68:J69">
    <cfRule type="expression" dxfId="125" priority="303" stopIfTrue="1">
      <formula>IF($T68&lt;5,TRUE,)</formula>
    </cfRule>
  </conditionalFormatting>
  <conditionalFormatting sqref="I68:I69">
    <cfRule type="expression" dxfId="124" priority="302" stopIfTrue="1">
      <formula>IF($T68&lt;4,TRUE,)</formula>
    </cfRule>
  </conditionalFormatting>
  <conditionalFormatting sqref="H68:H69">
    <cfRule type="expression" dxfId="123" priority="301" stopIfTrue="1">
      <formula>IF($T68&lt;3,TRUE,)</formula>
    </cfRule>
  </conditionalFormatting>
  <conditionalFormatting sqref="G68:G69">
    <cfRule type="expression" dxfId="122" priority="300" stopIfTrue="1">
      <formula>IF($T68&lt;2,TRUE,)</formula>
    </cfRule>
  </conditionalFormatting>
  <conditionalFormatting sqref="F68:F69">
    <cfRule type="expression" dxfId="121" priority="299" stopIfTrue="1">
      <formula>IF($T68&lt;1,TRUE,)</formula>
    </cfRule>
  </conditionalFormatting>
  <conditionalFormatting sqref="O68:O69">
    <cfRule type="expression" dxfId="120" priority="298" stopIfTrue="1">
      <formula>IF($T68&lt;10,TRUE,)</formula>
    </cfRule>
  </conditionalFormatting>
  <conditionalFormatting sqref="N63:N64">
    <cfRule type="expression" dxfId="119" priority="296" stopIfTrue="1">
      <formula>IF($T63&lt;9,TRUE,)</formula>
    </cfRule>
  </conditionalFormatting>
  <conditionalFormatting sqref="M63:M64">
    <cfRule type="expression" dxfId="118" priority="295" stopIfTrue="1">
      <formula>IF($T63&lt;8,TRUE,)</formula>
    </cfRule>
  </conditionalFormatting>
  <conditionalFormatting sqref="L63:L64">
    <cfRule type="expression" dxfId="117" priority="294" stopIfTrue="1">
      <formula>IF($T63&lt;7,TRUE,)</formula>
    </cfRule>
  </conditionalFormatting>
  <conditionalFormatting sqref="K63:K64">
    <cfRule type="expression" dxfId="116" priority="293" stopIfTrue="1">
      <formula>IF($T63&lt;6,TRUE,)</formula>
    </cfRule>
  </conditionalFormatting>
  <conditionalFormatting sqref="J63:J64">
    <cfRule type="expression" dxfId="115" priority="292" stopIfTrue="1">
      <formula>IF($T63&lt;5,TRUE,)</formula>
    </cfRule>
  </conditionalFormatting>
  <conditionalFormatting sqref="I63:I64">
    <cfRule type="expression" dxfId="114" priority="291" stopIfTrue="1">
      <formula>IF($T63&lt;4,TRUE,)</formula>
    </cfRule>
  </conditionalFormatting>
  <conditionalFormatting sqref="H63:H64">
    <cfRule type="expression" dxfId="113" priority="290" stopIfTrue="1">
      <formula>IF($T63&lt;3,TRUE,)</formula>
    </cfRule>
  </conditionalFormatting>
  <conditionalFormatting sqref="G63:G64">
    <cfRule type="expression" dxfId="112" priority="289" stopIfTrue="1">
      <formula>IF($T63&lt;2,TRUE,)</formula>
    </cfRule>
  </conditionalFormatting>
  <conditionalFormatting sqref="F63:F64">
    <cfRule type="expression" dxfId="111" priority="288" stopIfTrue="1">
      <formula>IF($T63&lt;1,TRUE,)</formula>
    </cfRule>
  </conditionalFormatting>
  <conditionalFormatting sqref="O63:O64">
    <cfRule type="expression" dxfId="110" priority="287" stopIfTrue="1">
      <formula>IF($T63&lt;10,TRUE,)</formula>
    </cfRule>
  </conditionalFormatting>
  <conditionalFormatting sqref="N70:N71">
    <cfRule type="expression" dxfId="109" priority="285" stopIfTrue="1">
      <formula>IF($T70&lt;9,TRUE,)</formula>
    </cfRule>
  </conditionalFormatting>
  <conditionalFormatting sqref="M70:M71">
    <cfRule type="expression" dxfId="108" priority="284" stopIfTrue="1">
      <formula>IF($T70&lt;8,TRUE,)</formula>
    </cfRule>
  </conditionalFormatting>
  <conditionalFormatting sqref="L70:L71">
    <cfRule type="expression" dxfId="107" priority="283" stopIfTrue="1">
      <formula>IF($T70&lt;7,TRUE,)</formula>
    </cfRule>
  </conditionalFormatting>
  <conditionalFormatting sqref="K70:K71">
    <cfRule type="expression" dxfId="106" priority="282" stopIfTrue="1">
      <formula>IF($T70&lt;6,TRUE,)</formula>
    </cfRule>
  </conditionalFormatting>
  <conditionalFormatting sqref="J70:J71">
    <cfRule type="expression" dxfId="105" priority="281" stopIfTrue="1">
      <formula>IF($T70&lt;5,TRUE,)</formula>
    </cfRule>
  </conditionalFormatting>
  <conditionalFormatting sqref="I70:I71">
    <cfRule type="expression" dxfId="104" priority="280" stopIfTrue="1">
      <formula>IF($T70&lt;4,TRUE,)</formula>
    </cfRule>
  </conditionalFormatting>
  <conditionalFormatting sqref="H70:H71">
    <cfRule type="expression" dxfId="103" priority="279" stopIfTrue="1">
      <formula>IF($T70&lt;3,TRUE,)</formula>
    </cfRule>
  </conditionalFormatting>
  <conditionalFormatting sqref="G70:G71">
    <cfRule type="expression" dxfId="102" priority="278" stopIfTrue="1">
      <formula>IF($T70&lt;2,TRUE,)</formula>
    </cfRule>
  </conditionalFormatting>
  <conditionalFormatting sqref="F70:F71">
    <cfRule type="expression" dxfId="101" priority="277" stopIfTrue="1">
      <formula>IF($T70&lt;1,TRUE,)</formula>
    </cfRule>
  </conditionalFormatting>
  <conditionalFormatting sqref="O70:O71">
    <cfRule type="expression" dxfId="100" priority="276" stopIfTrue="1">
      <formula>IF($T70&lt;10,TRUE,)</formula>
    </cfRule>
  </conditionalFormatting>
  <conditionalFormatting sqref="N72">
    <cfRule type="expression" dxfId="99" priority="219" stopIfTrue="1">
      <formula>IF($T72&lt;9,TRUE,)</formula>
    </cfRule>
  </conditionalFormatting>
  <conditionalFormatting sqref="M72">
    <cfRule type="expression" dxfId="98" priority="218" stopIfTrue="1">
      <formula>IF($T72&lt;8,TRUE,)</formula>
    </cfRule>
  </conditionalFormatting>
  <conditionalFormatting sqref="L72">
    <cfRule type="expression" dxfId="97" priority="217" stopIfTrue="1">
      <formula>IF($T72&lt;7,TRUE,)</formula>
    </cfRule>
  </conditionalFormatting>
  <conditionalFormatting sqref="K72">
    <cfRule type="expression" dxfId="96" priority="216" stopIfTrue="1">
      <formula>IF($T72&lt;6,TRUE,)</formula>
    </cfRule>
  </conditionalFormatting>
  <conditionalFormatting sqref="J72">
    <cfRule type="expression" dxfId="95" priority="215" stopIfTrue="1">
      <formula>IF($T72&lt;5,TRUE,)</formula>
    </cfRule>
  </conditionalFormatting>
  <conditionalFormatting sqref="I72">
    <cfRule type="expression" dxfId="94" priority="214" stopIfTrue="1">
      <formula>IF($T72&lt;4,TRUE,)</formula>
    </cfRule>
  </conditionalFormatting>
  <conditionalFormatting sqref="H72">
    <cfRule type="expression" dxfId="93" priority="213" stopIfTrue="1">
      <formula>IF($T72&lt;3,TRUE,)</formula>
    </cfRule>
  </conditionalFormatting>
  <conditionalFormatting sqref="G72">
    <cfRule type="expression" dxfId="92" priority="212" stopIfTrue="1">
      <formula>IF($T72&lt;2,TRUE,)</formula>
    </cfRule>
  </conditionalFormatting>
  <conditionalFormatting sqref="F72">
    <cfRule type="expression" dxfId="91" priority="211" stopIfTrue="1">
      <formula>IF($T72&lt;1,TRUE,)</formula>
    </cfRule>
  </conditionalFormatting>
  <conditionalFormatting sqref="O72">
    <cfRule type="expression" dxfId="90" priority="210" stopIfTrue="1">
      <formula>IF($T72&lt;10,TRUE,)</formula>
    </cfRule>
  </conditionalFormatting>
  <conditionalFormatting sqref="N61:N62">
    <cfRule type="expression" dxfId="89" priority="208" stopIfTrue="1">
      <formula>IF($T61&lt;9,TRUE,)</formula>
    </cfRule>
  </conditionalFormatting>
  <conditionalFormatting sqref="M61:M62">
    <cfRule type="expression" dxfId="88" priority="207" stopIfTrue="1">
      <formula>IF($T61&lt;8,TRUE,)</formula>
    </cfRule>
  </conditionalFormatting>
  <conditionalFormatting sqref="L61:L62">
    <cfRule type="expression" dxfId="87" priority="206" stopIfTrue="1">
      <formula>IF($T61&lt;7,TRUE,)</formula>
    </cfRule>
  </conditionalFormatting>
  <conditionalFormatting sqref="K61:K62">
    <cfRule type="expression" dxfId="86" priority="205" stopIfTrue="1">
      <formula>IF($T61&lt;6,TRUE,)</formula>
    </cfRule>
  </conditionalFormatting>
  <conditionalFormatting sqref="J61:J62">
    <cfRule type="expression" dxfId="85" priority="204" stopIfTrue="1">
      <formula>IF($T61&lt;5,TRUE,)</formula>
    </cfRule>
  </conditionalFormatting>
  <conditionalFormatting sqref="I61:I62">
    <cfRule type="expression" dxfId="84" priority="203" stopIfTrue="1">
      <formula>IF($T61&lt;4,TRUE,)</formula>
    </cfRule>
  </conditionalFormatting>
  <conditionalFormatting sqref="H61:H62">
    <cfRule type="expression" dxfId="83" priority="202" stopIfTrue="1">
      <formula>IF($T61&lt;3,TRUE,)</formula>
    </cfRule>
  </conditionalFormatting>
  <conditionalFormatting sqref="G61:G62">
    <cfRule type="expression" dxfId="82" priority="201" stopIfTrue="1">
      <formula>IF($T61&lt;2,TRUE,)</formula>
    </cfRule>
  </conditionalFormatting>
  <conditionalFormatting sqref="F61:F62">
    <cfRule type="expression" dxfId="81" priority="200" stopIfTrue="1">
      <formula>IF($T61&lt;1,TRUE,)</formula>
    </cfRule>
  </conditionalFormatting>
  <conditionalFormatting sqref="O61:O62">
    <cfRule type="expression" dxfId="80" priority="199" stopIfTrue="1">
      <formula>IF($T61&lt;10,TRUE,)</formula>
    </cfRule>
  </conditionalFormatting>
  <conditionalFormatting sqref="N68:N69">
    <cfRule type="expression" dxfId="79" priority="197" stopIfTrue="1">
      <formula>IF($T68&lt;9,TRUE,)</formula>
    </cfRule>
  </conditionalFormatting>
  <conditionalFormatting sqref="M68:M69">
    <cfRule type="expression" dxfId="78" priority="196" stopIfTrue="1">
      <formula>IF($T68&lt;8,TRUE,)</formula>
    </cfRule>
  </conditionalFormatting>
  <conditionalFormatting sqref="L68:L69">
    <cfRule type="expression" dxfId="77" priority="195" stopIfTrue="1">
      <formula>IF($T68&lt;7,TRUE,)</formula>
    </cfRule>
  </conditionalFormatting>
  <conditionalFormatting sqref="K68:K69">
    <cfRule type="expression" dxfId="76" priority="194" stopIfTrue="1">
      <formula>IF($T68&lt;6,TRUE,)</formula>
    </cfRule>
  </conditionalFormatting>
  <conditionalFormatting sqref="J68:J69">
    <cfRule type="expression" dxfId="75" priority="193" stopIfTrue="1">
      <formula>IF($T68&lt;5,TRUE,)</formula>
    </cfRule>
  </conditionalFormatting>
  <conditionalFormatting sqref="I68:I69">
    <cfRule type="expression" dxfId="74" priority="192" stopIfTrue="1">
      <formula>IF($T68&lt;4,TRUE,)</formula>
    </cfRule>
  </conditionalFormatting>
  <conditionalFormatting sqref="H68:H69">
    <cfRule type="expression" dxfId="73" priority="191" stopIfTrue="1">
      <formula>IF($T68&lt;3,TRUE,)</formula>
    </cfRule>
  </conditionalFormatting>
  <conditionalFormatting sqref="G68:G69">
    <cfRule type="expression" dxfId="72" priority="190" stopIfTrue="1">
      <formula>IF($T68&lt;2,TRUE,)</formula>
    </cfRule>
  </conditionalFormatting>
  <conditionalFormatting sqref="F68:F69">
    <cfRule type="expression" dxfId="71" priority="189" stopIfTrue="1">
      <formula>IF($T68&lt;1,TRUE,)</formula>
    </cfRule>
  </conditionalFormatting>
  <conditionalFormatting sqref="O68:O69">
    <cfRule type="expression" dxfId="70" priority="188" stopIfTrue="1">
      <formula>IF($T68&lt;10,TRUE,)</formula>
    </cfRule>
  </conditionalFormatting>
  <conditionalFormatting sqref="N63:N64">
    <cfRule type="expression" dxfId="69" priority="186" stopIfTrue="1">
      <formula>IF($T63&lt;9,TRUE,)</formula>
    </cfRule>
  </conditionalFormatting>
  <conditionalFormatting sqref="M63:M64">
    <cfRule type="expression" dxfId="68" priority="185" stopIfTrue="1">
      <formula>IF($T63&lt;8,TRUE,)</formula>
    </cfRule>
  </conditionalFormatting>
  <conditionalFormatting sqref="L63:L64">
    <cfRule type="expression" dxfId="67" priority="184" stopIfTrue="1">
      <formula>IF($T63&lt;7,TRUE,)</formula>
    </cfRule>
  </conditionalFormatting>
  <conditionalFormatting sqref="K63:K64">
    <cfRule type="expression" dxfId="66" priority="183" stopIfTrue="1">
      <formula>IF($T63&lt;6,TRUE,)</formula>
    </cfRule>
  </conditionalFormatting>
  <conditionalFormatting sqref="J63:J64">
    <cfRule type="expression" dxfId="65" priority="182" stopIfTrue="1">
      <formula>IF($T63&lt;5,TRUE,)</formula>
    </cfRule>
  </conditionalFormatting>
  <conditionalFormatting sqref="I63:I64">
    <cfRule type="expression" dxfId="64" priority="181" stopIfTrue="1">
      <formula>IF($T63&lt;4,TRUE,)</formula>
    </cfRule>
  </conditionalFormatting>
  <conditionalFormatting sqref="H63:H64">
    <cfRule type="expression" dxfId="63" priority="180" stopIfTrue="1">
      <formula>IF($T63&lt;3,TRUE,)</formula>
    </cfRule>
  </conditionalFormatting>
  <conditionalFormatting sqref="G63:G64">
    <cfRule type="expression" dxfId="62" priority="179" stopIfTrue="1">
      <formula>IF($T63&lt;2,TRUE,)</formula>
    </cfRule>
  </conditionalFormatting>
  <conditionalFormatting sqref="F63:F64">
    <cfRule type="expression" dxfId="61" priority="178" stopIfTrue="1">
      <formula>IF($T63&lt;1,TRUE,)</formula>
    </cfRule>
  </conditionalFormatting>
  <conditionalFormatting sqref="O63:O64">
    <cfRule type="expression" dxfId="60" priority="177" stopIfTrue="1">
      <formula>IF($T63&lt;10,TRUE,)</formula>
    </cfRule>
  </conditionalFormatting>
  <conditionalFormatting sqref="N70:N71">
    <cfRule type="expression" dxfId="59" priority="175" stopIfTrue="1">
      <formula>IF($T70&lt;9,TRUE,)</formula>
    </cfRule>
  </conditionalFormatting>
  <conditionalFormatting sqref="M70:M71">
    <cfRule type="expression" dxfId="58" priority="174" stopIfTrue="1">
      <formula>IF($T70&lt;8,TRUE,)</formula>
    </cfRule>
  </conditionalFormatting>
  <conditionalFormatting sqref="L70:L71">
    <cfRule type="expression" dxfId="57" priority="173" stopIfTrue="1">
      <formula>IF($T70&lt;7,TRUE,)</formula>
    </cfRule>
  </conditionalFormatting>
  <conditionalFormatting sqref="K70:K71">
    <cfRule type="expression" dxfId="56" priority="172" stopIfTrue="1">
      <formula>IF($T70&lt;6,TRUE,)</formula>
    </cfRule>
  </conditionalFormatting>
  <conditionalFormatting sqref="J70:J71">
    <cfRule type="expression" dxfId="55" priority="171" stopIfTrue="1">
      <formula>IF($T70&lt;5,TRUE,)</formula>
    </cfRule>
  </conditionalFormatting>
  <conditionalFormatting sqref="I70:I71">
    <cfRule type="expression" dxfId="54" priority="170" stopIfTrue="1">
      <formula>IF($T70&lt;4,TRUE,)</formula>
    </cfRule>
  </conditionalFormatting>
  <conditionalFormatting sqref="H70:H71">
    <cfRule type="expression" dxfId="53" priority="169" stopIfTrue="1">
      <formula>IF($T70&lt;3,TRUE,)</formula>
    </cfRule>
  </conditionalFormatting>
  <conditionalFormatting sqref="G70:G71">
    <cfRule type="expression" dxfId="52" priority="168" stopIfTrue="1">
      <formula>IF($T70&lt;2,TRUE,)</formula>
    </cfRule>
  </conditionalFormatting>
  <conditionalFormatting sqref="F70:F71">
    <cfRule type="expression" dxfId="51" priority="167" stopIfTrue="1">
      <formula>IF($T70&lt;1,TRUE,)</formula>
    </cfRule>
  </conditionalFormatting>
  <conditionalFormatting sqref="O70:O71">
    <cfRule type="expression" dxfId="50" priority="166" stopIfTrue="1">
      <formula>IF($T70&lt;10,TRUE,)</formula>
    </cfRule>
  </conditionalFormatting>
  <conditionalFormatting sqref="N56">
    <cfRule type="expression" dxfId="49" priority="164" stopIfTrue="1">
      <formula>IF($T56&lt;9,TRUE,)</formula>
    </cfRule>
  </conditionalFormatting>
  <conditionalFormatting sqref="M56">
    <cfRule type="expression" dxfId="48" priority="163" stopIfTrue="1">
      <formula>IF($T56&lt;8,TRUE,)</formula>
    </cfRule>
  </conditionalFormatting>
  <conditionalFormatting sqref="L56">
    <cfRule type="expression" dxfId="47" priority="162" stopIfTrue="1">
      <formula>IF($T56&lt;7,TRUE,)</formula>
    </cfRule>
  </conditionalFormatting>
  <conditionalFormatting sqref="K56">
    <cfRule type="expression" dxfId="46" priority="161" stopIfTrue="1">
      <formula>IF($T56&lt;6,TRUE,)</formula>
    </cfRule>
  </conditionalFormatting>
  <conditionalFormatting sqref="J56">
    <cfRule type="expression" dxfId="45" priority="160" stopIfTrue="1">
      <formula>IF($T56&lt;5,TRUE,)</formula>
    </cfRule>
  </conditionalFormatting>
  <conditionalFormatting sqref="I56">
    <cfRule type="expression" dxfId="44" priority="159" stopIfTrue="1">
      <formula>IF($T56&lt;4,TRUE,)</formula>
    </cfRule>
  </conditionalFormatting>
  <conditionalFormatting sqref="H56">
    <cfRule type="expression" dxfId="43" priority="158" stopIfTrue="1">
      <formula>IF($T56&lt;3,TRUE,)</formula>
    </cfRule>
  </conditionalFormatting>
  <conditionalFormatting sqref="G56">
    <cfRule type="expression" dxfId="42" priority="157" stopIfTrue="1">
      <formula>IF($T56&lt;2,TRUE,)</formula>
    </cfRule>
  </conditionalFormatting>
  <conditionalFormatting sqref="F56">
    <cfRule type="expression" dxfId="41" priority="156" stopIfTrue="1">
      <formula>IF($T56&lt;1,TRUE,)</formula>
    </cfRule>
  </conditionalFormatting>
  <conditionalFormatting sqref="O56">
    <cfRule type="expression" dxfId="40" priority="155" stopIfTrue="1">
      <formula>IF($T56&lt;10,TRUE,)</formula>
    </cfRule>
  </conditionalFormatting>
  <conditionalFormatting sqref="N45:N46">
    <cfRule type="expression" dxfId="39" priority="153" stopIfTrue="1">
      <formula>IF($T45&lt;9,TRUE,)</formula>
    </cfRule>
  </conditionalFormatting>
  <conditionalFormatting sqref="M45:M46">
    <cfRule type="expression" dxfId="38" priority="152" stopIfTrue="1">
      <formula>IF($T45&lt;8,TRUE,)</formula>
    </cfRule>
  </conditionalFormatting>
  <conditionalFormatting sqref="L45:L46">
    <cfRule type="expression" dxfId="37" priority="151" stopIfTrue="1">
      <formula>IF($T45&lt;7,TRUE,)</formula>
    </cfRule>
  </conditionalFormatting>
  <conditionalFormatting sqref="K45:K46">
    <cfRule type="expression" dxfId="36" priority="150" stopIfTrue="1">
      <formula>IF($T45&lt;6,TRUE,)</formula>
    </cfRule>
  </conditionalFormatting>
  <conditionalFormatting sqref="J45:J46">
    <cfRule type="expression" dxfId="35" priority="149" stopIfTrue="1">
      <formula>IF($T45&lt;5,TRUE,)</formula>
    </cfRule>
  </conditionalFormatting>
  <conditionalFormatting sqref="I45:I46">
    <cfRule type="expression" dxfId="34" priority="148" stopIfTrue="1">
      <formula>IF($T45&lt;4,TRUE,)</formula>
    </cfRule>
  </conditionalFormatting>
  <conditionalFormatting sqref="H45:H46">
    <cfRule type="expression" dxfId="33" priority="147" stopIfTrue="1">
      <formula>IF($T45&lt;3,TRUE,)</formula>
    </cfRule>
  </conditionalFormatting>
  <conditionalFormatting sqref="G45:G46">
    <cfRule type="expression" dxfId="32" priority="146" stopIfTrue="1">
      <formula>IF($T45&lt;2,TRUE,)</formula>
    </cfRule>
  </conditionalFormatting>
  <conditionalFormatting sqref="F45:F46">
    <cfRule type="expression" dxfId="31" priority="145" stopIfTrue="1">
      <formula>IF($T45&lt;1,TRUE,)</formula>
    </cfRule>
  </conditionalFormatting>
  <conditionalFormatting sqref="O45:O46">
    <cfRule type="expression" dxfId="30" priority="144" stopIfTrue="1">
      <formula>IF($T45&lt;10,TRUE,)</formula>
    </cfRule>
  </conditionalFormatting>
  <conditionalFormatting sqref="N52:N53">
    <cfRule type="expression" dxfId="29" priority="142" stopIfTrue="1">
      <formula>IF($T52&lt;9,TRUE,)</formula>
    </cfRule>
  </conditionalFormatting>
  <conditionalFormatting sqref="M52:M53">
    <cfRule type="expression" dxfId="28" priority="141" stopIfTrue="1">
      <formula>IF($T52&lt;8,TRUE,)</formula>
    </cfRule>
  </conditionalFormatting>
  <conditionalFormatting sqref="L52:L53">
    <cfRule type="expression" dxfId="27" priority="140" stopIfTrue="1">
      <formula>IF($T52&lt;7,TRUE,)</formula>
    </cfRule>
  </conditionalFormatting>
  <conditionalFormatting sqref="K52:K53">
    <cfRule type="expression" dxfId="26" priority="139" stopIfTrue="1">
      <formula>IF($T52&lt;6,TRUE,)</formula>
    </cfRule>
  </conditionalFormatting>
  <conditionalFormatting sqref="J52:J53">
    <cfRule type="expression" dxfId="25" priority="138" stopIfTrue="1">
      <formula>IF($T52&lt;5,TRUE,)</formula>
    </cfRule>
  </conditionalFormatting>
  <conditionalFormatting sqref="I52:I53">
    <cfRule type="expression" dxfId="24" priority="137" stopIfTrue="1">
      <formula>IF($T52&lt;4,TRUE,)</formula>
    </cfRule>
  </conditionalFormatting>
  <conditionalFormatting sqref="H52:H53">
    <cfRule type="expression" dxfId="23" priority="136" stopIfTrue="1">
      <formula>IF($T52&lt;3,TRUE,)</formula>
    </cfRule>
  </conditionalFormatting>
  <conditionalFormatting sqref="G52:G53">
    <cfRule type="expression" dxfId="22" priority="135" stopIfTrue="1">
      <formula>IF($T52&lt;2,TRUE,)</formula>
    </cfRule>
  </conditionalFormatting>
  <conditionalFormatting sqref="F52:F53">
    <cfRule type="expression" dxfId="21" priority="134" stopIfTrue="1">
      <formula>IF($T52&lt;1,TRUE,)</formula>
    </cfRule>
  </conditionalFormatting>
  <conditionalFormatting sqref="O52:O53">
    <cfRule type="expression" dxfId="20" priority="133" stopIfTrue="1">
      <formula>IF($T52&lt;10,TRUE,)</formula>
    </cfRule>
  </conditionalFormatting>
  <conditionalFormatting sqref="N47:N48">
    <cfRule type="expression" dxfId="19" priority="131" stopIfTrue="1">
      <formula>IF($T47&lt;9,TRUE,)</formula>
    </cfRule>
  </conditionalFormatting>
  <conditionalFormatting sqref="M47:M48">
    <cfRule type="expression" dxfId="18" priority="130" stopIfTrue="1">
      <formula>IF($T47&lt;8,TRUE,)</formula>
    </cfRule>
  </conditionalFormatting>
  <conditionalFormatting sqref="L47:L48">
    <cfRule type="expression" dxfId="17" priority="129" stopIfTrue="1">
      <formula>IF($T47&lt;7,TRUE,)</formula>
    </cfRule>
  </conditionalFormatting>
  <conditionalFormatting sqref="K47:K48">
    <cfRule type="expression" dxfId="16" priority="128" stopIfTrue="1">
      <formula>IF($T47&lt;6,TRUE,)</formula>
    </cfRule>
  </conditionalFormatting>
  <conditionalFormatting sqref="J47:J48">
    <cfRule type="expression" dxfId="15" priority="127" stopIfTrue="1">
      <formula>IF($T47&lt;5,TRUE,)</formula>
    </cfRule>
  </conditionalFormatting>
  <conditionalFormatting sqref="I47:I48">
    <cfRule type="expression" dxfId="14" priority="126" stopIfTrue="1">
      <formula>IF($T47&lt;4,TRUE,)</formula>
    </cfRule>
  </conditionalFormatting>
  <conditionalFormatting sqref="H47:H48">
    <cfRule type="expression" dxfId="13" priority="125" stopIfTrue="1">
      <formula>IF($T47&lt;3,TRUE,)</formula>
    </cfRule>
  </conditionalFormatting>
  <conditionalFormatting sqref="G47:G48">
    <cfRule type="expression" dxfId="12" priority="124" stopIfTrue="1">
      <formula>IF($T47&lt;2,TRUE,)</formula>
    </cfRule>
  </conditionalFormatting>
  <conditionalFormatting sqref="F47:F48">
    <cfRule type="expression" dxfId="11" priority="123" stopIfTrue="1">
      <formula>IF($T47&lt;1,TRUE,)</formula>
    </cfRule>
  </conditionalFormatting>
  <conditionalFormatting sqref="O47:O48">
    <cfRule type="expression" dxfId="10" priority="122" stopIfTrue="1">
      <formula>IF($T47&lt;10,TRUE,)</formula>
    </cfRule>
  </conditionalFormatting>
  <conditionalFormatting sqref="N54:N55">
    <cfRule type="expression" dxfId="9" priority="120" stopIfTrue="1">
      <formula>IF($T54&lt;9,TRUE,)</formula>
    </cfRule>
  </conditionalFormatting>
  <conditionalFormatting sqref="M54:M55">
    <cfRule type="expression" dxfId="8" priority="119" stopIfTrue="1">
      <formula>IF($T54&lt;8,TRUE,)</formula>
    </cfRule>
  </conditionalFormatting>
  <conditionalFormatting sqref="L54:L55">
    <cfRule type="expression" dxfId="7" priority="118" stopIfTrue="1">
      <formula>IF($T54&lt;7,TRUE,)</formula>
    </cfRule>
  </conditionalFormatting>
  <conditionalFormatting sqref="K54:K55">
    <cfRule type="expression" dxfId="6" priority="117" stopIfTrue="1">
      <formula>IF($T54&lt;6,TRUE,)</formula>
    </cfRule>
  </conditionalFormatting>
  <conditionalFormatting sqref="J54:J55">
    <cfRule type="expression" dxfId="5" priority="116" stopIfTrue="1">
      <formula>IF($T54&lt;5,TRUE,)</formula>
    </cfRule>
  </conditionalFormatting>
  <conditionalFormatting sqref="I54:I55">
    <cfRule type="expression" dxfId="4" priority="115" stopIfTrue="1">
      <formula>IF($T54&lt;4,TRUE,)</formula>
    </cfRule>
  </conditionalFormatting>
  <conditionalFormatting sqref="H54:H55">
    <cfRule type="expression" dxfId="3" priority="114" stopIfTrue="1">
      <formula>IF($T54&lt;3,TRUE,)</formula>
    </cfRule>
  </conditionalFormatting>
  <conditionalFormatting sqref="G54:G55">
    <cfRule type="expression" dxfId="2" priority="113" stopIfTrue="1">
      <formula>IF($T54&lt;2,TRUE,)</formula>
    </cfRule>
  </conditionalFormatting>
  <conditionalFormatting sqref="F54:F55">
    <cfRule type="expression" dxfId="1" priority="112" stopIfTrue="1">
      <formula>IF($T54&lt;1,TRUE,)</formula>
    </cfRule>
  </conditionalFormatting>
  <conditionalFormatting sqref="O54:O55">
    <cfRule type="expression" dxfId="0" priority="111" stopIfTrue="1">
      <formula>IF($T54&lt;10,TRUE,)</formula>
    </cfRule>
  </conditionalFormatting>
  <dataValidations xWindow="845" yWindow="489" count="10">
    <dataValidation type="list" allowBlank="1" showInputMessage="1" showErrorMessage="1" sqref="P73">
      <formula1>R.DDL_DEQStaffRank</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74:P74"/>
    <dataValidation type="list" allowBlank="1" showInputMessage="1" showErrorMessage="1" promptTitle="DROP DOWN LIST" prompt="Select a range of hours from the drop down list that best describes how involved this resource will be in IMPLEMENTING this project." sqref="E68:E71 E52:E55 E36:E39 E20:E23">
      <formula1>R.DDL_DEQResourcesInvolved</formula1>
    </dataValidation>
    <dataValidation type="list" allowBlank="1" showInputMessage="1" showErrorMessage="1" promptTitle="DROP DOWN LIST" prompt="Select a range of hours from the drop down list that best describes how involved this resource will be in DEVELOPING this project." sqref="E61:E64 E45:E48 E29:E32 E13:E16">
      <formula1>R.DDL_DEQResourcesInvolved</formula1>
    </dataValidation>
    <dataValidation allowBlank="1" showInputMessage="1" showErrorMessage="1" promptTitle="ENTER NAME" prompt="Enter the name of the STAFF or FUNCTION involved with DEVELOPING the project._x000a_" sqref="D13:D16 D61:D64 D29:D32 D45:D48"/>
    <dataValidation allowBlank="1" showInputMessage="1" showErrorMessage="1" promptTitle="ENTER NAME" prompt="Enter the name of the STAFF or FUNCTION involved with IMPLEMENTING the project._x000a_" sqref="D20:D23 D68:D71 D52:D55 D36:D39"/>
    <dataValidation type="list" allowBlank="1" showInputMessage="1" showErrorMessage="1" promptTitle="DROP DOWN LIST" prompt="Select whether the named person is staff, a manager or an administrator. Leave this cell blank if you entered a FUNCTION name or left the name blank." sqref="P13:P16 P68:P71 P61:P64 P52:P55 P45:P48 P36:P39 P29:P32 P20:P23">
      <formula1>R.DDL_DEQStaffRank</formula1>
    </dataValidation>
    <dataValidation type="textLength" allowBlank="1" showInputMessage="1" showErrorMessage="1" promptTitle="DESCRIBE INVOLVEMENT" prompt="_x000a_Describe how this resource would be involved with the proposal during the development phase of the rule._x000a_" sqref="D43:P43 D27:P27">
      <formula1>0</formula1>
      <formula2>5000</formula2>
    </dataValidation>
    <dataValidation type="textLength" allowBlank="1" showInputMessage="1" showErrorMessage="1" promptTitle="DESCRIBE INVOLVEMENT" prompt="_x000a_Describe how this resource would be involved with the proposal during the implementation phase of the rule." sqref="D66:P66 D18:P18 D34:P34 D50:P50">
      <formula1>0</formula1>
      <formula2>5000</formula2>
    </dataValidation>
    <dataValidation type="textLength" allowBlank="1" showInputMessage="1" showErrorMessage="1" promptTitle="DESCRIBE INVOLVEMENT" prompt="_x000a_Describe how this resource would be involved with the proposal during the development phase of the rule." sqref="D59:P59 D11:P11">
      <formula1>0</formula1>
      <formula2>5000</formula2>
    </dataValidation>
  </dataValidations>
  <hyperlinks>
    <hyperlink ref="A1" location="R.0Header" display="⧀ Go to Content"/>
    <hyperlink ref="A2" r:id="rId1"/>
    <hyperlink ref="A75" location="R.15Header" display="Go to Top"/>
  </hyperlinks>
  <pageMargins left="0.25" right="0.25" top="0.75" bottom="0.75" header="0.3" footer="0.3"/>
  <pageSetup scale="98" orientation="portrait" horizontalDpi="4294967293" verticalDpi="4294967293" r:id="rId2"/>
  <rowBreaks count="2" manualBreakCount="2">
    <brk id="24" min="2" max="16" man="1"/>
    <brk id="56" min="2" max="16" man="1"/>
  </rowBreaks>
  <drawing r:id="rId3"/>
  <legacyDrawing r:id="rId4"/>
</worksheet>
</file>

<file path=xl/worksheets/sheet2.xml><?xml version="1.0" encoding="utf-8"?>
<worksheet xmlns="http://schemas.openxmlformats.org/spreadsheetml/2006/main" xmlns:r="http://schemas.openxmlformats.org/officeDocument/2006/relationships">
  <sheetPr codeName="Sheet1"/>
  <dimension ref="A1:AI314"/>
  <sheetViews>
    <sheetView workbookViewId="0">
      <selection activeCell="C231" sqref="C231"/>
    </sheetView>
  </sheetViews>
  <sheetFormatPr defaultColWidth="9" defaultRowHeight="14.25"/>
  <cols>
    <col min="1" max="1" width="8.75" style="569" customWidth="1"/>
    <col min="2" max="2" width="9.375" style="37" customWidth="1"/>
    <col min="3" max="3" width="9" style="570"/>
    <col min="4" max="4" width="10.375" style="560" customWidth="1"/>
    <col min="5" max="5" width="12" style="560" customWidth="1"/>
    <col min="6" max="6" width="8.125" style="499" customWidth="1"/>
    <col min="7" max="7" width="26.25" style="571" customWidth="1"/>
    <col min="8" max="8" width="23.875" style="571" customWidth="1"/>
    <col min="9" max="9" width="9.375" style="571" customWidth="1"/>
    <col min="10" max="10" width="8.5" style="570" customWidth="1"/>
    <col min="11" max="11" width="6.375" style="560" customWidth="1"/>
    <col min="12" max="12" width="5.375" style="560" customWidth="1"/>
    <col min="13" max="13" width="3.75" style="560" customWidth="1"/>
    <col min="14" max="14" width="7.125" style="560" customWidth="1"/>
    <col min="15" max="21" width="3.75" style="560" customWidth="1"/>
    <col min="22" max="31" width="4.75" style="560" customWidth="1"/>
    <col min="32" max="35" width="4.75" style="499" customWidth="1"/>
    <col min="36" max="16384" width="9" style="560"/>
  </cols>
  <sheetData>
    <row r="1" spans="1:35" ht="20.25">
      <c r="A1" s="604" t="s">
        <v>324</v>
      </c>
      <c r="B1" s="604"/>
      <c r="C1" s="604"/>
      <c r="D1" s="604"/>
      <c r="E1" s="604"/>
      <c r="F1" s="604"/>
      <c r="G1" s="604"/>
      <c r="H1" s="564"/>
      <c r="I1" s="564"/>
      <c r="J1" s="605" t="s">
        <v>325</v>
      </c>
      <c r="K1" s="605"/>
      <c r="L1" s="605"/>
      <c r="M1" s="605"/>
      <c r="N1" s="605"/>
      <c r="O1" s="605"/>
      <c r="P1" s="605"/>
      <c r="Q1" s="605"/>
      <c r="R1" s="605"/>
      <c r="S1" s="605"/>
      <c r="T1" s="605"/>
      <c r="U1" s="605"/>
      <c r="V1" s="605"/>
      <c r="W1" s="605"/>
      <c r="X1" s="605"/>
      <c r="Y1" s="605"/>
      <c r="Z1" s="605"/>
      <c r="AA1" s="605"/>
      <c r="AB1" s="605"/>
      <c r="AC1" s="605"/>
      <c r="AD1" s="605"/>
      <c r="AE1" s="605"/>
      <c r="AF1" s="565"/>
      <c r="AG1" s="565"/>
      <c r="AH1" s="565"/>
      <c r="AI1" s="565"/>
    </row>
    <row r="2" spans="1:35">
      <c r="A2" s="566" t="s">
        <v>326</v>
      </c>
      <c r="B2" s="543" t="s">
        <v>327</v>
      </c>
      <c r="C2" s="567" t="s">
        <v>328</v>
      </c>
      <c r="D2" s="444" t="s">
        <v>211</v>
      </c>
      <c r="E2" s="444" t="s">
        <v>254</v>
      </c>
      <c r="F2" s="543" t="s">
        <v>329</v>
      </c>
      <c r="G2" s="568" t="s">
        <v>330</v>
      </c>
      <c r="H2" s="568" t="s">
        <v>331</v>
      </c>
      <c r="I2" s="568" t="s">
        <v>466</v>
      </c>
      <c r="J2" s="567" t="s">
        <v>332</v>
      </c>
      <c r="K2" s="444" t="s">
        <v>333</v>
      </c>
      <c r="L2" s="444" t="s">
        <v>334</v>
      </c>
      <c r="M2" s="543" t="s">
        <v>335</v>
      </c>
      <c r="N2" s="543" t="s">
        <v>336</v>
      </c>
      <c r="O2" s="543" t="s">
        <v>337</v>
      </c>
      <c r="P2" s="543" t="s">
        <v>338</v>
      </c>
      <c r="Q2" s="543" t="s">
        <v>339</v>
      </c>
      <c r="R2" s="543" t="s">
        <v>340</v>
      </c>
      <c r="S2" s="543" t="s">
        <v>341</v>
      </c>
      <c r="T2" s="543" t="s">
        <v>342</v>
      </c>
      <c r="U2" s="543" t="s">
        <v>343</v>
      </c>
      <c r="V2" s="543" t="s">
        <v>344</v>
      </c>
      <c r="W2" s="543" t="s">
        <v>345</v>
      </c>
      <c r="X2" s="543" t="s">
        <v>346</v>
      </c>
      <c r="Y2" s="543" t="s">
        <v>347</v>
      </c>
      <c r="Z2" s="543" t="s">
        <v>348</v>
      </c>
      <c r="AA2" s="543" t="s">
        <v>349</v>
      </c>
      <c r="AB2" s="543" t="s">
        <v>350</v>
      </c>
      <c r="AC2" s="543" t="s">
        <v>351</v>
      </c>
      <c r="AD2" s="543" t="s">
        <v>352</v>
      </c>
      <c r="AE2" s="543" t="s">
        <v>353</v>
      </c>
      <c r="AF2" s="543" t="s">
        <v>354</v>
      </c>
      <c r="AG2" s="543" t="s">
        <v>355</v>
      </c>
      <c r="AH2" s="543" t="s">
        <v>356</v>
      </c>
      <c r="AI2" s="543" t="s">
        <v>357</v>
      </c>
    </row>
    <row r="3" spans="1:35" ht="28.5" hidden="1">
      <c r="A3" s="569">
        <v>1</v>
      </c>
      <c r="B3" s="37">
        <v>1</v>
      </c>
      <c r="C3" s="570">
        <v>41144</v>
      </c>
      <c r="D3" s="560" t="s">
        <v>358</v>
      </c>
      <c r="E3" s="578" t="s">
        <v>364</v>
      </c>
      <c r="F3" s="499" t="s">
        <v>359</v>
      </c>
      <c r="G3" s="571" t="s">
        <v>360</v>
      </c>
      <c r="I3" s="571" t="str">
        <f>Table1[[#This Row],[Staff]]</f>
        <v>Nicole</v>
      </c>
      <c r="J3" s="570">
        <f>Table1[[#This Row],[Date]]</f>
        <v>41144</v>
      </c>
      <c r="K3" s="526"/>
      <c r="L3" s="526"/>
      <c r="M3" s="525"/>
      <c r="N3" s="525"/>
      <c r="O3" s="525"/>
      <c r="P3" s="525"/>
      <c r="Q3" s="525"/>
      <c r="R3" s="525"/>
      <c r="S3" s="525"/>
      <c r="T3" s="525"/>
      <c r="U3" s="525"/>
      <c r="V3" s="525"/>
      <c r="W3" s="525"/>
      <c r="X3" s="525"/>
      <c r="Y3" s="525"/>
      <c r="Z3" s="525"/>
      <c r="AA3" s="525"/>
      <c r="AB3" s="525"/>
      <c r="AC3" s="525"/>
      <c r="AD3" s="525"/>
      <c r="AE3" s="525"/>
      <c r="AF3" s="525"/>
      <c r="AG3" s="525"/>
      <c r="AH3" s="525"/>
      <c r="AI3" s="525"/>
    </row>
    <row r="4" spans="1:35" ht="28.5" hidden="1">
      <c r="A4" s="569">
        <v>1</v>
      </c>
      <c r="B4" s="37">
        <v>2</v>
      </c>
      <c r="C4" s="570">
        <v>41144</v>
      </c>
      <c r="D4" s="560" t="s">
        <v>358</v>
      </c>
      <c r="E4" s="560" t="s">
        <v>364</v>
      </c>
      <c r="F4" s="499" t="s">
        <v>361</v>
      </c>
      <c r="G4" s="571" t="s">
        <v>362</v>
      </c>
      <c r="H4" s="571" t="s">
        <v>363</v>
      </c>
      <c r="I4" s="571" t="str">
        <f>Table1[[#This Row],[Staff]]</f>
        <v>Nicole</v>
      </c>
      <c r="J4" s="570">
        <f>Table1[[#This Row],[Date]]</f>
        <v>41144</v>
      </c>
      <c r="K4" s="526"/>
      <c r="L4" s="526"/>
    </row>
    <row r="5" spans="1:35" hidden="1">
      <c r="A5" s="569">
        <v>1</v>
      </c>
      <c r="B5" s="37">
        <v>3</v>
      </c>
      <c r="C5" s="570">
        <v>41144</v>
      </c>
      <c r="D5" s="560" t="s">
        <v>358</v>
      </c>
      <c r="E5" s="560" t="s">
        <v>365</v>
      </c>
      <c r="F5" s="499" t="s">
        <v>366</v>
      </c>
      <c r="G5" s="571" t="s">
        <v>367</v>
      </c>
      <c r="H5" s="571" t="s">
        <v>368</v>
      </c>
      <c r="I5" s="571" t="str">
        <f>Table1[[#This Row],[Staff]]</f>
        <v>Nicole</v>
      </c>
      <c r="J5" s="570">
        <f>Table1[[#This Row],[Date]]</f>
        <v>41144</v>
      </c>
      <c r="K5" s="526"/>
      <c r="L5" s="526"/>
    </row>
    <row r="6" spans="1:35" ht="28.5" hidden="1">
      <c r="A6" s="569">
        <v>1</v>
      </c>
      <c r="B6" s="37">
        <v>4</v>
      </c>
      <c r="C6" s="570">
        <v>41144</v>
      </c>
      <c r="D6" s="560" t="s">
        <v>358</v>
      </c>
      <c r="E6" s="560" t="s">
        <v>365</v>
      </c>
      <c r="F6" s="499" t="s">
        <v>369</v>
      </c>
      <c r="G6" s="571" t="s">
        <v>370</v>
      </c>
      <c r="H6" s="571" t="s">
        <v>371</v>
      </c>
      <c r="I6" s="571" t="str">
        <f>Table1[[#This Row],[Staff]]</f>
        <v>Nicole</v>
      </c>
      <c r="J6" s="570">
        <f>Table1[[#This Row],[Date]]</f>
        <v>41144</v>
      </c>
      <c r="K6" s="526"/>
      <c r="L6" s="526"/>
    </row>
    <row r="7" spans="1:35" hidden="1">
      <c r="A7" s="569">
        <v>1</v>
      </c>
      <c r="B7" s="37">
        <v>5</v>
      </c>
      <c r="C7" s="570">
        <v>41144</v>
      </c>
      <c r="D7" s="560" t="s">
        <v>358</v>
      </c>
      <c r="E7" s="560" t="s">
        <v>160</v>
      </c>
      <c r="F7" s="499" t="s">
        <v>366</v>
      </c>
      <c r="G7" s="571" t="s">
        <v>367</v>
      </c>
      <c r="H7" s="571" t="s">
        <v>380</v>
      </c>
      <c r="I7" s="571" t="str">
        <f>Table1[[#This Row],[Staff]]</f>
        <v>Nicole</v>
      </c>
      <c r="J7" s="570">
        <f>Table1[[#This Row],[Date]]</f>
        <v>41144</v>
      </c>
      <c r="K7" s="526"/>
      <c r="L7" s="526"/>
    </row>
    <row r="8" spans="1:35" hidden="1">
      <c r="A8" s="569">
        <v>1</v>
      </c>
      <c r="B8" s="37">
        <v>6</v>
      </c>
      <c r="C8" s="570">
        <v>41144</v>
      </c>
      <c r="D8" s="560" t="s">
        <v>358</v>
      </c>
      <c r="E8" s="560" t="s">
        <v>160</v>
      </c>
      <c r="F8" s="499" t="s">
        <v>372</v>
      </c>
      <c r="G8" s="571" t="s">
        <v>376</v>
      </c>
      <c r="H8" s="571" t="s">
        <v>373</v>
      </c>
      <c r="I8" s="571" t="str">
        <f>Table1[[#This Row],[Staff]]</f>
        <v>Nicole</v>
      </c>
      <c r="J8" s="570">
        <f>Table1[[#This Row],[Date]]</f>
        <v>41144</v>
      </c>
      <c r="K8" s="526"/>
      <c r="L8" s="526"/>
    </row>
    <row r="9" spans="1:35" hidden="1">
      <c r="A9" s="569">
        <v>1</v>
      </c>
      <c r="B9" s="37">
        <v>7</v>
      </c>
      <c r="C9" s="570">
        <v>41144</v>
      </c>
      <c r="D9" s="560" t="s">
        <v>358</v>
      </c>
      <c r="E9" s="560" t="s">
        <v>374</v>
      </c>
      <c r="F9" s="499" t="s">
        <v>366</v>
      </c>
      <c r="G9" s="571" t="s">
        <v>367</v>
      </c>
      <c r="H9" s="571" t="s">
        <v>380</v>
      </c>
      <c r="I9" s="571" t="str">
        <f>Table1[[#This Row],[Staff]]</f>
        <v>Nicole</v>
      </c>
      <c r="J9" s="570">
        <f>Table1[[#This Row],[Date]]</f>
        <v>41144</v>
      </c>
      <c r="K9" s="526"/>
      <c r="L9" s="526"/>
    </row>
    <row r="10" spans="1:35" hidden="1">
      <c r="A10" s="569">
        <v>1</v>
      </c>
      <c r="B10" s="37">
        <v>8</v>
      </c>
      <c r="C10" s="570">
        <v>41144</v>
      </c>
      <c r="D10" s="560" t="s">
        <v>358</v>
      </c>
      <c r="E10" s="560" t="s">
        <v>9</v>
      </c>
      <c r="F10" s="499" t="s">
        <v>366</v>
      </c>
      <c r="G10" s="571" t="s">
        <v>367</v>
      </c>
      <c r="H10" s="571" t="s">
        <v>380</v>
      </c>
      <c r="I10" s="571" t="str">
        <f>Table1[[#This Row],[Staff]]</f>
        <v>Nicole</v>
      </c>
      <c r="J10" s="570">
        <f>Table1[[#This Row],[Date]]</f>
        <v>41144</v>
      </c>
      <c r="K10" s="526"/>
      <c r="L10" s="526"/>
    </row>
    <row r="11" spans="1:35" hidden="1">
      <c r="A11" s="569">
        <v>1</v>
      </c>
      <c r="B11" s="37">
        <v>9</v>
      </c>
      <c r="C11" s="570">
        <v>41144</v>
      </c>
      <c r="D11" s="560" t="s">
        <v>358</v>
      </c>
      <c r="E11" s="560" t="s">
        <v>9</v>
      </c>
      <c r="F11" s="499" t="s">
        <v>378</v>
      </c>
      <c r="G11" s="571" t="s">
        <v>376</v>
      </c>
      <c r="H11" s="571" t="s">
        <v>379</v>
      </c>
      <c r="I11" s="571" t="str">
        <f>Table1[[#This Row],[Staff]]</f>
        <v>Nicole</v>
      </c>
      <c r="J11" s="570">
        <f>Table1[[#This Row],[Date]]</f>
        <v>41144</v>
      </c>
      <c r="K11" s="526"/>
      <c r="L11" s="526"/>
    </row>
    <row r="12" spans="1:35" hidden="1">
      <c r="A12" s="569">
        <v>1</v>
      </c>
      <c r="B12" s="37">
        <v>10</v>
      </c>
      <c r="C12" s="570">
        <v>41144</v>
      </c>
      <c r="D12" s="560" t="s">
        <v>358</v>
      </c>
      <c r="E12" s="560" t="s">
        <v>374</v>
      </c>
      <c r="F12" s="499" t="s">
        <v>375</v>
      </c>
      <c r="G12" s="571" t="s">
        <v>376</v>
      </c>
      <c r="H12" s="571" t="s">
        <v>377</v>
      </c>
      <c r="I12" s="571" t="str">
        <f>Table1[[#This Row],[Staff]]</f>
        <v>Nicole</v>
      </c>
      <c r="J12" s="570">
        <f>Table1[[#This Row],[Date]]</f>
        <v>41144</v>
      </c>
      <c r="K12" s="526"/>
      <c r="L12" s="526"/>
    </row>
    <row r="13" spans="1:35" hidden="1">
      <c r="A13" s="569">
        <v>1</v>
      </c>
      <c r="B13" s="37">
        <v>11</v>
      </c>
      <c r="C13" s="570">
        <v>41144</v>
      </c>
      <c r="D13" s="560" t="s">
        <v>358</v>
      </c>
      <c r="E13" s="560" t="s">
        <v>381</v>
      </c>
      <c r="F13" s="499" t="s">
        <v>366</v>
      </c>
      <c r="G13" s="571" t="s">
        <v>367</v>
      </c>
      <c r="H13" s="571" t="s">
        <v>380</v>
      </c>
      <c r="I13" s="571" t="str">
        <f>Table1[[#This Row],[Staff]]</f>
        <v>Nicole</v>
      </c>
      <c r="J13" s="570">
        <f>Table1[[#This Row],[Date]]</f>
        <v>41144</v>
      </c>
      <c r="K13" s="526"/>
      <c r="L13" s="526"/>
    </row>
    <row r="14" spans="1:35" hidden="1">
      <c r="A14" s="569">
        <v>1</v>
      </c>
      <c r="B14" s="37">
        <v>12</v>
      </c>
      <c r="C14" s="570">
        <v>41144</v>
      </c>
      <c r="D14" s="560" t="s">
        <v>358</v>
      </c>
      <c r="E14" s="560" t="s">
        <v>381</v>
      </c>
      <c r="F14" s="499" t="s">
        <v>382</v>
      </c>
      <c r="G14" s="571" t="s">
        <v>376</v>
      </c>
      <c r="H14" s="571" t="s">
        <v>383</v>
      </c>
      <c r="I14" s="571" t="str">
        <f>Table1[[#This Row],[Staff]]</f>
        <v>Nicole</v>
      </c>
      <c r="J14" s="570">
        <f>Table1[[#This Row],[Date]]</f>
        <v>41144</v>
      </c>
      <c r="K14" s="526"/>
      <c r="L14" s="526"/>
    </row>
    <row r="15" spans="1:35" hidden="1">
      <c r="A15" s="569">
        <v>1</v>
      </c>
      <c r="B15" s="37">
        <v>13</v>
      </c>
      <c r="C15" s="570">
        <v>41144</v>
      </c>
      <c r="D15" s="560" t="s">
        <v>358</v>
      </c>
      <c r="E15" s="560" t="s">
        <v>384</v>
      </c>
      <c r="F15" s="499" t="s">
        <v>366</v>
      </c>
      <c r="G15" s="571" t="s">
        <v>367</v>
      </c>
      <c r="H15" s="571" t="s">
        <v>380</v>
      </c>
      <c r="I15" s="571" t="str">
        <f>Table1[[#This Row],[Staff]]</f>
        <v>Nicole</v>
      </c>
      <c r="J15" s="570">
        <f>Table1[[#This Row],[Date]]</f>
        <v>41144</v>
      </c>
      <c r="K15" s="526"/>
      <c r="L15" s="526"/>
    </row>
    <row r="16" spans="1:35" hidden="1">
      <c r="A16" s="569">
        <v>1</v>
      </c>
      <c r="B16" s="37">
        <v>14</v>
      </c>
      <c r="C16" s="570">
        <v>41144</v>
      </c>
      <c r="D16" s="560" t="s">
        <v>358</v>
      </c>
      <c r="E16" s="560" t="s">
        <v>384</v>
      </c>
      <c r="F16" s="499" t="s">
        <v>385</v>
      </c>
      <c r="G16" s="571" t="s">
        <v>376</v>
      </c>
      <c r="H16" s="571" t="s">
        <v>386</v>
      </c>
      <c r="I16" s="571" t="str">
        <f>Table1[[#This Row],[Staff]]</f>
        <v>Nicole</v>
      </c>
      <c r="J16" s="570">
        <f>Table1[[#This Row],[Date]]</f>
        <v>41144</v>
      </c>
      <c r="K16" s="526"/>
      <c r="L16" s="526"/>
    </row>
    <row r="17" spans="1:12" hidden="1">
      <c r="A17" s="569">
        <v>1</v>
      </c>
      <c r="B17" s="37">
        <v>15</v>
      </c>
      <c r="C17" s="570">
        <v>41144</v>
      </c>
      <c r="D17" s="560" t="s">
        <v>358</v>
      </c>
      <c r="E17" s="560" t="s">
        <v>61</v>
      </c>
      <c r="F17" s="499" t="s">
        <v>366</v>
      </c>
      <c r="G17" s="571" t="s">
        <v>367</v>
      </c>
      <c r="H17" s="571" t="s">
        <v>380</v>
      </c>
      <c r="I17" s="571" t="str">
        <f>Table1[[#This Row],[Staff]]</f>
        <v>Nicole</v>
      </c>
      <c r="J17" s="570">
        <f>Table1[[#This Row],[Date]]</f>
        <v>41144</v>
      </c>
      <c r="K17" s="526"/>
      <c r="L17" s="526"/>
    </row>
    <row r="18" spans="1:12" hidden="1">
      <c r="A18" s="569">
        <v>1</v>
      </c>
      <c r="B18" s="37">
        <v>16</v>
      </c>
      <c r="C18" s="570">
        <v>41144</v>
      </c>
      <c r="D18" s="560" t="s">
        <v>358</v>
      </c>
      <c r="E18" s="560" t="s">
        <v>61</v>
      </c>
      <c r="F18" s="499" t="s">
        <v>387</v>
      </c>
      <c r="G18" s="571" t="s">
        <v>376</v>
      </c>
      <c r="H18" s="571" t="s">
        <v>388</v>
      </c>
      <c r="I18" s="571" t="str">
        <f>Table1[[#This Row],[Staff]]</f>
        <v>Nicole</v>
      </c>
      <c r="J18" s="570">
        <f>Table1[[#This Row],[Date]]</f>
        <v>41144</v>
      </c>
      <c r="K18" s="526"/>
      <c r="L18" s="526"/>
    </row>
    <row r="19" spans="1:12" hidden="1">
      <c r="A19" s="569">
        <v>1</v>
      </c>
      <c r="B19" s="37">
        <v>17</v>
      </c>
      <c r="C19" s="570">
        <v>41144</v>
      </c>
      <c r="D19" s="560" t="s">
        <v>358</v>
      </c>
      <c r="E19" s="560" t="s">
        <v>389</v>
      </c>
      <c r="F19" s="499" t="s">
        <v>366</v>
      </c>
      <c r="G19" s="571" t="s">
        <v>367</v>
      </c>
      <c r="H19" s="571" t="s">
        <v>380</v>
      </c>
      <c r="I19" s="571" t="str">
        <f>Table1[[#This Row],[Staff]]</f>
        <v>Nicole</v>
      </c>
      <c r="J19" s="570">
        <f>Table1[[#This Row],[Date]]</f>
        <v>41144</v>
      </c>
      <c r="K19" s="526"/>
      <c r="L19" s="526"/>
    </row>
    <row r="20" spans="1:12" hidden="1">
      <c r="A20" s="569">
        <v>1</v>
      </c>
      <c r="B20" s="37">
        <v>18</v>
      </c>
      <c r="C20" s="570">
        <v>41144</v>
      </c>
      <c r="D20" s="560" t="s">
        <v>358</v>
      </c>
      <c r="E20" s="560" t="s">
        <v>389</v>
      </c>
      <c r="F20" s="499" t="s">
        <v>390</v>
      </c>
      <c r="I20" s="571" t="str">
        <f>Table1[[#This Row],[Staff]]</f>
        <v>Nicole</v>
      </c>
      <c r="J20" s="570">
        <f>Table1[[#This Row],[Date]]</f>
        <v>41144</v>
      </c>
      <c r="K20" s="526"/>
      <c r="L20" s="526"/>
    </row>
    <row r="21" spans="1:12" ht="28.5" hidden="1">
      <c r="A21" s="569">
        <v>1</v>
      </c>
      <c r="B21" s="37">
        <v>19</v>
      </c>
      <c r="C21" s="570">
        <v>41144</v>
      </c>
      <c r="D21" s="560" t="s">
        <v>358</v>
      </c>
      <c r="E21" s="560" t="s">
        <v>391</v>
      </c>
      <c r="F21" s="499" t="s">
        <v>392</v>
      </c>
      <c r="G21" s="571" t="s">
        <v>393</v>
      </c>
      <c r="H21" s="571" t="s">
        <v>394</v>
      </c>
      <c r="I21" s="571" t="str">
        <f>Table1[[#This Row],[Staff]]</f>
        <v>Nicole</v>
      </c>
      <c r="J21" s="570">
        <f>Table1[[#This Row],[Date]]</f>
        <v>41144</v>
      </c>
      <c r="K21" s="526"/>
      <c r="L21" s="526"/>
    </row>
    <row r="22" spans="1:12" hidden="1">
      <c r="A22" s="569">
        <v>1</v>
      </c>
      <c r="B22" s="37">
        <v>20</v>
      </c>
      <c r="C22" s="570">
        <v>41144</v>
      </c>
      <c r="D22" s="560" t="s">
        <v>358</v>
      </c>
      <c r="E22" s="560" t="s">
        <v>391</v>
      </c>
      <c r="F22" s="499" t="s">
        <v>366</v>
      </c>
      <c r="G22" s="571" t="s">
        <v>367</v>
      </c>
      <c r="H22" s="571" t="s">
        <v>380</v>
      </c>
      <c r="I22" s="571" t="str">
        <f>Table1[[#This Row],[Staff]]</f>
        <v>Nicole</v>
      </c>
      <c r="J22" s="570">
        <f>Table1[[#This Row],[Date]]</f>
        <v>41144</v>
      </c>
      <c r="K22" s="526"/>
      <c r="L22" s="526"/>
    </row>
    <row r="23" spans="1:12" hidden="1">
      <c r="A23" s="569">
        <v>1</v>
      </c>
      <c r="B23" s="37">
        <v>21</v>
      </c>
      <c r="C23" s="570">
        <v>41144</v>
      </c>
      <c r="D23" s="560" t="s">
        <v>358</v>
      </c>
      <c r="E23" s="560" t="s">
        <v>391</v>
      </c>
      <c r="F23" s="499" t="s">
        <v>390</v>
      </c>
      <c r="G23" s="571" t="s">
        <v>376</v>
      </c>
      <c r="H23" s="571" t="s">
        <v>395</v>
      </c>
      <c r="I23" s="571" t="str">
        <f>Table1[[#This Row],[Staff]]</f>
        <v>Nicole</v>
      </c>
      <c r="J23" s="570">
        <f>Table1[[#This Row],[Date]]</f>
        <v>41144</v>
      </c>
      <c r="K23" s="526"/>
      <c r="L23" s="526"/>
    </row>
    <row r="24" spans="1:12" ht="28.5" hidden="1">
      <c r="A24" s="569">
        <v>1</v>
      </c>
      <c r="B24" s="37">
        <v>22</v>
      </c>
      <c r="C24" s="570">
        <v>41144</v>
      </c>
      <c r="D24" s="560" t="s">
        <v>358</v>
      </c>
      <c r="E24" s="560" t="s">
        <v>397</v>
      </c>
      <c r="F24" s="499" t="s">
        <v>396</v>
      </c>
      <c r="G24" s="571" t="s">
        <v>398</v>
      </c>
      <c r="H24" s="571" t="s">
        <v>399</v>
      </c>
      <c r="I24" s="571" t="str">
        <f>Table1[[#This Row],[Staff]]</f>
        <v>Nicole</v>
      </c>
      <c r="J24" s="570">
        <f>Table1[[#This Row],[Date]]</f>
        <v>41144</v>
      </c>
      <c r="K24" s="526"/>
      <c r="L24" s="526"/>
    </row>
    <row r="25" spans="1:12" hidden="1">
      <c r="A25" s="569">
        <v>1</v>
      </c>
      <c r="B25" s="37">
        <v>23</v>
      </c>
      <c r="C25" s="570">
        <v>41144</v>
      </c>
      <c r="D25" s="560" t="s">
        <v>358</v>
      </c>
      <c r="E25" s="560" t="s">
        <v>397</v>
      </c>
      <c r="F25" s="499" t="s">
        <v>366</v>
      </c>
      <c r="G25" s="571" t="s">
        <v>367</v>
      </c>
      <c r="H25" s="571" t="s">
        <v>380</v>
      </c>
      <c r="I25" s="571" t="str">
        <f>Table1[[#This Row],[Staff]]</f>
        <v>Nicole</v>
      </c>
      <c r="J25" s="570">
        <f>Table1[[#This Row],[Date]]</f>
        <v>41144</v>
      </c>
      <c r="K25" s="526"/>
      <c r="L25" s="526"/>
    </row>
    <row r="26" spans="1:12" ht="28.5" hidden="1">
      <c r="A26" s="569">
        <v>1</v>
      </c>
      <c r="B26" s="37">
        <v>24</v>
      </c>
      <c r="C26" s="570">
        <v>41144</v>
      </c>
      <c r="D26" s="560" t="s">
        <v>358</v>
      </c>
      <c r="E26" s="560" t="s">
        <v>397</v>
      </c>
      <c r="F26" s="499" t="s">
        <v>401</v>
      </c>
      <c r="G26" s="571" t="s">
        <v>376</v>
      </c>
      <c r="H26" s="571" t="s">
        <v>400</v>
      </c>
      <c r="I26" s="571" t="str">
        <f>Table1[[#This Row],[Staff]]</f>
        <v>Nicole</v>
      </c>
      <c r="J26" s="570">
        <f>Table1[[#This Row],[Date]]</f>
        <v>41144</v>
      </c>
      <c r="K26" s="526"/>
      <c r="L26" s="526"/>
    </row>
    <row r="27" spans="1:12" hidden="1">
      <c r="A27" s="569">
        <v>1</v>
      </c>
      <c r="B27" s="37">
        <v>25</v>
      </c>
      <c r="C27" s="570">
        <v>41144</v>
      </c>
      <c r="D27" s="560" t="s">
        <v>358</v>
      </c>
      <c r="E27" s="560" t="s">
        <v>402</v>
      </c>
      <c r="F27" s="499" t="s">
        <v>366</v>
      </c>
      <c r="G27" s="571" t="s">
        <v>367</v>
      </c>
      <c r="H27" s="571" t="s">
        <v>380</v>
      </c>
      <c r="I27" s="571" t="str">
        <f>Table1[[#This Row],[Staff]]</f>
        <v>Nicole</v>
      </c>
      <c r="J27" s="570">
        <f>Table1[[#This Row],[Date]]</f>
        <v>41144</v>
      </c>
      <c r="K27" s="526"/>
      <c r="L27" s="526"/>
    </row>
    <row r="28" spans="1:12" ht="28.5" hidden="1">
      <c r="A28" s="569">
        <v>1</v>
      </c>
      <c r="B28" s="37">
        <v>26</v>
      </c>
      <c r="C28" s="570">
        <v>41144</v>
      </c>
      <c r="D28" s="560" t="s">
        <v>358</v>
      </c>
      <c r="E28" s="560" t="s">
        <v>402</v>
      </c>
      <c r="F28" s="499" t="s">
        <v>390</v>
      </c>
      <c r="G28" s="571" t="s">
        <v>376</v>
      </c>
      <c r="H28" s="571" t="s">
        <v>403</v>
      </c>
      <c r="I28" s="571" t="str">
        <f>Table1[[#This Row],[Staff]]</f>
        <v>Nicole</v>
      </c>
      <c r="J28" s="570">
        <f>Table1[[#This Row],[Date]]</f>
        <v>41144</v>
      </c>
      <c r="K28" s="526"/>
      <c r="L28" s="526"/>
    </row>
    <row r="29" spans="1:12" hidden="1">
      <c r="A29" s="569">
        <v>1</v>
      </c>
      <c r="B29" s="37">
        <v>27</v>
      </c>
      <c r="C29" s="570">
        <v>41144</v>
      </c>
      <c r="D29" s="560" t="s">
        <v>358</v>
      </c>
      <c r="E29" s="560" t="s">
        <v>405</v>
      </c>
      <c r="F29" s="499" t="s">
        <v>366</v>
      </c>
      <c r="G29" s="571" t="s">
        <v>367</v>
      </c>
      <c r="H29" s="571" t="s">
        <v>380</v>
      </c>
      <c r="I29" s="571" t="str">
        <f>Table1[[#This Row],[Staff]]</f>
        <v>Nicole</v>
      </c>
      <c r="J29" s="570">
        <f>Table1[[#This Row],[Date]]</f>
        <v>41144</v>
      </c>
      <c r="K29" s="526"/>
      <c r="L29" s="526"/>
    </row>
    <row r="30" spans="1:12" ht="28.5" hidden="1">
      <c r="A30" s="569">
        <v>1</v>
      </c>
      <c r="B30" s="37">
        <v>28</v>
      </c>
      <c r="C30" s="570">
        <v>41144</v>
      </c>
      <c r="D30" s="560" t="s">
        <v>358</v>
      </c>
      <c r="E30" s="560" t="s">
        <v>405</v>
      </c>
      <c r="F30" s="499" t="s">
        <v>404</v>
      </c>
      <c r="G30" s="571" t="s">
        <v>376</v>
      </c>
      <c r="H30" s="571" t="s">
        <v>406</v>
      </c>
      <c r="I30" s="571" t="str">
        <f>Table1[[#This Row],[Staff]]</f>
        <v>Nicole</v>
      </c>
      <c r="J30" s="570">
        <f>Table1[[#This Row],[Date]]</f>
        <v>41144</v>
      </c>
      <c r="K30" s="526"/>
      <c r="L30" s="526"/>
    </row>
    <row r="31" spans="1:12" hidden="1">
      <c r="A31" s="569">
        <v>1</v>
      </c>
      <c r="B31" s="37">
        <v>29</v>
      </c>
      <c r="C31" s="570">
        <v>41144</v>
      </c>
      <c r="D31" s="560" t="s">
        <v>358</v>
      </c>
      <c r="E31" s="560" t="s">
        <v>77</v>
      </c>
      <c r="F31" s="499" t="s">
        <v>366</v>
      </c>
      <c r="G31" s="571" t="s">
        <v>367</v>
      </c>
      <c r="H31" s="571" t="s">
        <v>380</v>
      </c>
      <c r="I31" s="571" t="str">
        <f>Table1[[#This Row],[Staff]]</f>
        <v>Nicole</v>
      </c>
      <c r="J31" s="570">
        <f>Table1[[#This Row],[Date]]</f>
        <v>41144</v>
      </c>
      <c r="K31" s="526"/>
      <c r="L31" s="526"/>
    </row>
    <row r="32" spans="1:12" ht="28.5" hidden="1">
      <c r="A32" s="569">
        <v>1</v>
      </c>
      <c r="B32" s="37">
        <v>30</v>
      </c>
      <c r="C32" s="570">
        <v>41144</v>
      </c>
      <c r="D32" s="560" t="s">
        <v>358</v>
      </c>
      <c r="E32" s="560" t="s">
        <v>77</v>
      </c>
      <c r="F32" s="499" t="s">
        <v>407</v>
      </c>
      <c r="G32" s="571" t="s">
        <v>376</v>
      </c>
      <c r="H32" s="571" t="s">
        <v>408</v>
      </c>
      <c r="I32" s="571" t="str">
        <f>Table1[[#This Row],[Staff]]</f>
        <v>Nicole</v>
      </c>
      <c r="J32" s="570">
        <f>Table1[[#This Row],[Date]]</f>
        <v>41144</v>
      </c>
      <c r="K32" s="526"/>
      <c r="L32" s="526"/>
    </row>
    <row r="33" spans="1:12" hidden="1">
      <c r="A33" s="569">
        <v>1</v>
      </c>
      <c r="B33" s="37">
        <v>31</v>
      </c>
      <c r="C33" s="570">
        <v>41144</v>
      </c>
      <c r="D33" s="560" t="s">
        <v>358</v>
      </c>
      <c r="E33" s="560" t="s">
        <v>86</v>
      </c>
      <c r="F33" s="499" t="s">
        <v>366</v>
      </c>
      <c r="G33" s="571" t="s">
        <v>367</v>
      </c>
      <c r="H33" s="571" t="s">
        <v>380</v>
      </c>
      <c r="I33" s="571" t="str">
        <f>Table1[[#This Row],[Staff]]</f>
        <v>Nicole</v>
      </c>
      <c r="J33" s="570">
        <f>Table1[[#This Row],[Date]]</f>
        <v>41144</v>
      </c>
      <c r="K33" s="526"/>
      <c r="L33" s="526"/>
    </row>
    <row r="34" spans="1:12" ht="28.5" hidden="1">
      <c r="A34" s="569">
        <v>1</v>
      </c>
      <c r="B34" s="37">
        <v>32</v>
      </c>
      <c r="C34" s="570">
        <v>41144</v>
      </c>
      <c r="D34" s="560" t="s">
        <v>358</v>
      </c>
      <c r="E34" s="560" t="s">
        <v>86</v>
      </c>
      <c r="F34" s="499" t="s">
        <v>413</v>
      </c>
      <c r="G34" s="571" t="s">
        <v>376</v>
      </c>
      <c r="H34" s="571" t="s">
        <v>410</v>
      </c>
      <c r="I34" s="571" t="str">
        <f>Table1[[#This Row],[Staff]]</f>
        <v>Nicole</v>
      </c>
      <c r="J34" s="570">
        <f>Table1[[#This Row],[Date]]</f>
        <v>41144</v>
      </c>
      <c r="K34" s="526"/>
      <c r="L34" s="526"/>
    </row>
    <row r="35" spans="1:12" hidden="1">
      <c r="A35" s="569">
        <v>1</v>
      </c>
      <c r="B35" s="37">
        <v>33</v>
      </c>
      <c r="C35" s="570">
        <v>41144</v>
      </c>
      <c r="D35" s="560" t="s">
        <v>358</v>
      </c>
      <c r="E35" s="560" t="s">
        <v>409</v>
      </c>
      <c r="F35" s="499" t="s">
        <v>366</v>
      </c>
      <c r="G35" s="571" t="s">
        <v>367</v>
      </c>
      <c r="H35" s="571" t="s">
        <v>380</v>
      </c>
      <c r="I35" s="571" t="str">
        <f>Table1[[#This Row],[Staff]]</f>
        <v>Nicole</v>
      </c>
      <c r="J35" s="570">
        <f>Table1[[#This Row],[Date]]</f>
        <v>41144</v>
      </c>
      <c r="K35" s="526"/>
      <c r="L35" s="526"/>
    </row>
    <row r="36" spans="1:12" ht="28.5" hidden="1">
      <c r="A36" s="569">
        <v>1</v>
      </c>
      <c r="B36" s="37">
        <v>34</v>
      </c>
      <c r="C36" s="570">
        <v>41144</v>
      </c>
      <c r="D36" s="560" t="s">
        <v>358</v>
      </c>
      <c r="E36" s="560" t="s">
        <v>409</v>
      </c>
      <c r="F36" s="499" t="s">
        <v>412</v>
      </c>
      <c r="G36" s="571" t="s">
        <v>376</v>
      </c>
      <c r="H36" s="571" t="s">
        <v>411</v>
      </c>
      <c r="I36" s="571" t="str">
        <f>Table1[[#This Row],[Staff]]</f>
        <v>Nicole</v>
      </c>
      <c r="J36" s="570">
        <f>Table1[[#This Row],[Date]]</f>
        <v>41144</v>
      </c>
      <c r="K36" s="526"/>
      <c r="L36" s="526"/>
    </row>
    <row r="37" spans="1:12" ht="28.5" hidden="1">
      <c r="A37" s="569">
        <v>1</v>
      </c>
      <c r="B37" s="37">
        <v>35</v>
      </c>
      <c r="C37" s="570">
        <v>41145</v>
      </c>
      <c r="D37" s="561" t="s">
        <v>358</v>
      </c>
      <c r="E37" s="561" t="s">
        <v>365</v>
      </c>
      <c r="F37" s="499" t="s">
        <v>414</v>
      </c>
      <c r="G37" s="571" t="s">
        <v>415</v>
      </c>
      <c r="H37" s="571" t="s">
        <v>416</v>
      </c>
      <c r="I37" s="571" t="str">
        <f>Table1[[#This Row],[Staff]]</f>
        <v>Nicole</v>
      </c>
      <c r="J37" s="570">
        <f>Table1[[#This Row],[Date]]</f>
        <v>41145</v>
      </c>
      <c r="K37" s="526"/>
      <c r="L37" s="526"/>
    </row>
    <row r="38" spans="1:12" ht="28.5" hidden="1">
      <c r="A38" s="569">
        <v>1</v>
      </c>
      <c r="B38" s="37">
        <v>36</v>
      </c>
      <c r="C38" s="570">
        <v>41145</v>
      </c>
      <c r="D38" s="561" t="s">
        <v>358</v>
      </c>
      <c r="E38" s="561" t="s">
        <v>365</v>
      </c>
      <c r="F38" s="499" t="s">
        <v>417</v>
      </c>
      <c r="G38" s="571" t="s">
        <v>418</v>
      </c>
      <c r="H38" s="577" t="s">
        <v>468</v>
      </c>
      <c r="I38" s="577" t="s">
        <v>467</v>
      </c>
      <c r="J38" s="570">
        <v>41148</v>
      </c>
      <c r="K38" s="526"/>
      <c r="L38" s="526"/>
    </row>
    <row r="39" spans="1:12" ht="42.75" hidden="1">
      <c r="A39" s="569">
        <v>1</v>
      </c>
      <c r="B39" s="37">
        <v>37</v>
      </c>
      <c r="C39" s="570">
        <v>41145</v>
      </c>
      <c r="D39" s="561" t="s">
        <v>358</v>
      </c>
      <c r="E39" s="561" t="s">
        <v>365</v>
      </c>
      <c r="F39" s="499" t="s">
        <v>419</v>
      </c>
      <c r="G39" s="571" t="s">
        <v>420</v>
      </c>
      <c r="H39" s="571" t="s">
        <v>428</v>
      </c>
      <c r="I39" s="571" t="str">
        <f>Table1[[#This Row],[Staff]]</f>
        <v>Nicole</v>
      </c>
      <c r="J39" s="570">
        <f>Table1[[#This Row],[Date]]</f>
        <v>41145</v>
      </c>
      <c r="K39" s="526"/>
      <c r="L39" s="526"/>
    </row>
    <row r="40" spans="1:12" hidden="1">
      <c r="A40" s="569">
        <v>1</v>
      </c>
      <c r="B40" s="37">
        <v>38</v>
      </c>
      <c r="C40" s="570">
        <v>41145</v>
      </c>
      <c r="D40" s="561" t="s">
        <v>358</v>
      </c>
      <c r="E40" s="561" t="s">
        <v>374</v>
      </c>
      <c r="F40" s="499" t="s">
        <v>421</v>
      </c>
      <c r="G40" s="571" t="s">
        <v>420</v>
      </c>
      <c r="H40" s="571" t="s">
        <v>427</v>
      </c>
      <c r="I40" s="571" t="str">
        <f>Table1[[#This Row],[Staff]]</f>
        <v>Nicole</v>
      </c>
      <c r="J40" s="570">
        <f>Table1[[#This Row],[Date]]</f>
        <v>41145</v>
      </c>
      <c r="K40" s="526"/>
      <c r="L40" s="526"/>
    </row>
    <row r="41" spans="1:12" hidden="1">
      <c r="A41" s="569">
        <v>1</v>
      </c>
      <c r="B41" s="37">
        <v>39</v>
      </c>
      <c r="C41" s="570">
        <v>41145</v>
      </c>
      <c r="D41" s="561" t="s">
        <v>358</v>
      </c>
      <c r="E41" s="561" t="s">
        <v>374</v>
      </c>
      <c r="F41" s="499" t="s">
        <v>422</v>
      </c>
      <c r="G41" s="571" t="s">
        <v>420</v>
      </c>
      <c r="H41" s="571" t="s">
        <v>427</v>
      </c>
      <c r="I41" s="571" t="str">
        <f>Table1[[#This Row],[Staff]]</f>
        <v>Nicole</v>
      </c>
      <c r="J41" s="570">
        <f>Table1[[#This Row],[Date]]</f>
        <v>41145</v>
      </c>
      <c r="K41" s="526"/>
      <c r="L41" s="526"/>
    </row>
    <row r="42" spans="1:12" hidden="1">
      <c r="A42" s="569">
        <v>1</v>
      </c>
      <c r="B42" s="37">
        <v>40</v>
      </c>
      <c r="C42" s="570">
        <v>41145</v>
      </c>
      <c r="D42" s="561" t="s">
        <v>358</v>
      </c>
      <c r="E42" s="561" t="s">
        <v>374</v>
      </c>
      <c r="F42" s="499" t="s">
        <v>423</v>
      </c>
      <c r="G42" s="571" t="s">
        <v>420</v>
      </c>
      <c r="H42" s="571" t="s">
        <v>427</v>
      </c>
      <c r="I42" s="571" t="str">
        <f>Table1[[#This Row],[Staff]]</f>
        <v>Nicole</v>
      </c>
      <c r="J42" s="570">
        <f>Table1[[#This Row],[Date]]</f>
        <v>41145</v>
      </c>
      <c r="K42" s="526"/>
      <c r="L42" s="526"/>
    </row>
    <row r="43" spans="1:12" hidden="1">
      <c r="A43" s="569">
        <v>1</v>
      </c>
      <c r="B43" s="37">
        <v>41</v>
      </c>
      <c r="C43" s="570">
        <v>41145</v>
      </c>
      <c r="D43" s="561" t="s">
        <v>358</v>
      </c>
      <c r="E43" s="561" t="s">
        <v>374</v>
      </c>
      <c r="F43" s="499" t="s">
        <v>424</v>
      </c>
      <c r="G43" s="571" t="s">
        <v>420</v>
      </c>
      <c r="H43" s="571" t="s">
        <v>427</v>
      </c>
      <c r="I43" s="571" t="str">
        <f>Table1[[#This Row],[Staff]]</f>
        <v>Nicole</v>
      </c>
      <c r="J43" s="570">
        <f>Table1[[#This Row],[Date]]</f>
        <v>41145</v>
      </c>
      <c r="K43" s="526"/>
      <c r="L43" s="526"/>
    </row>
    <row r="44" spans="1:12" hidden="1">
      <c r="A44" s="569">
        <v>1</v>
      </c>
      <c r="B44" s="37">
        <v>42</v>
      </c>
      <c r="C44" s="570">
        <v>41145</v>
      </c>
      <c r="D44" s="561" t="s">
        <v>358</v>
      </c>
      <c r="E44" s="561" t="s">
        <v>374</v>
      </c>
      <c r="F44" s="499" t="s">
        <v>425</v>
      </c>
      <c r="G44" s="571" t="s">
        <v>420</v>
      </c>
      <c r="H44" s="571" t="s">
        <v>427</v>
      </c>
      <c r="I44" s="571" t="str">
        <f>Table1[[#This Row],[Staff]]</f>
        <v>Nicole</v>
      </c>
      <c r="J44" s="570">
        <f>Table1[[#This Row],[Date]]</f>
        <v>41145</v>
      </c>
      <c r="K44" s="526"/>
      <c r="L44" s="526"/>
    </row>
    <row r="45" spans="1:12" hidden="1">
      <c r="A45" s="569">
        <v>1</v>
      </c>
      <c r="B45" s="37">
        <v>43</v>
      </c>
      <c r="C45" s="570">
        <v>41145</v>
      </c>
      <c r="D45" s="561" t="s">
        <v>358</v>
      </c>
      <c r="E45" s="561" t="s">
        <v>374</v>
      </c>
      <c r="F45" s="499" t="s">
        <v>426</v>
      </c>
      <c r="G45" s="571" t="s">
        <v>420</v>
      </c>
      <c r="H45" s="571" t="s">
        <v>427</v>
      </c>
      <c r="I45" s="571" t="str">
        <f>Table1[[#This Row],[Staff]]</f>
        <v>Nicole</v>
      </c>
      <c r="J45" s="570">
        <f>Table1[[#This Row],[Date]]</f>
        <v>41145</v>
      </c>
      <c r="K45" s="526"/>
      <c r="L45" s="526"/>
    </row>
    <row r="46" spans="1:12" hidden="1">
      <c r="A46" s="569">
        <v>1</v>
      </c>
      <c r="B46" s="37">
        <v>44</v>
      </c>
      <c r="C46" s="570">
        <v>41145</v>
      </c>
      <c r="D46" s="561" t="s">
        <v>358</v>
      </c>
      <c r="E46" s="561" t="s">
        <v>9</v>
      </c>
      <c r="F46" s="499" t="s">
        <v>429</v>
      </c>
      <c r="G46" s="571" t="s">
        <v>420</v>
      </c>
      <c r="H46" s="571" t="s">
        <v>427</v>
      </c>
      <c r="I46" s="571" t="str">
        <f>Table1[[#This Row],[Staff]]</f>
        <v>Nicole</v>
      </c>
      <c r="J46" s="570">
        <f>Table1[[#This Row],[Date]]</f>
        <v>41145</v>
      </c>
      <c r="K46" s="526"/>
      <c r="L46" s="526"/>
    </row>
    <row r="47" spans="1:12" hidden="1">
      <c r="A47" s="569">
        <v>1</v>
      </c>
      <c r="B47" s="37">
        <v>45</v>
      </c>
      <c r="C47" s="570">
        <v>41145</v>
      </c>
      <c r="D47" s="561" t="s">
        <v>358</v>
      </c>
      <c r="E47" s="561" t="s">
        <v>9</v>
      </c>
      <c r="F47" s="499" t="s">
        <v>422</v>
      </c>
      <c r="G47" s="571" t="s">
        <v>420</v>
      </c>
      <c r="H47" s="571" t="s">
        <v>427</v>
      </c>
      <c r="I47" s="571" t="str">
        <f>Table1[[#This Row],[Staff]]</f>
        <v>Nicole</v>
      </c>
      <c r="J47" s="570">
        <f>Table1[[#This Row],[Date]]</f>
        <v>41145</v>
      </c>
      <c r="K47" s="526"/>
      <c r="L47" s="526"/>
    </row>
    <row r="48" spans="1:12" hidden="1">
      <c r="A48" s="569">
        <v>1</v>
      </c>
      <c r="B48" s="37">
        <v>46</v>
      </c>
      <c r="C48" s="570">
        <v>41145</v>
      </c>
      <c r="D48" s="561" t="s">
        <v>358</v>
      </c>
      <c r="E48" s="561" t="s">
        <v>9</v>
      </c>
      <c r="F48" s="499" t="s">
        <v>423</v>
      </c>
      <c r="G48" s="571" t="s">
        <v>420</v>
      </c>
      <c r="H48" s="571" t="s">
        <v>427</v>
      </c>
      <c r="I48" s="571" t="str">
        <f>Table1[[#This Row],[Staff]]</f>
        <v>Nicole</v>
      </c>
      <c r="J48" s="570">
        <f>Table1[[#This Row],[Date]]</f>
        <v>41145</v>
      </c>
      <c r="K48" s="526"/>
      <c r="L48" s="526"/>
    </row>
    <row r="49" spans="1:12" hidden="1">
      <c r="A49" s="569">
        <v>1</v>
      </c>
      <c r="B49" s="37">
        <v>47</v>
      </c>
      <c r="C49" s="570">
        <v>41145</v>
      </c>
      <c r="D49" s="561" t="s">
        <v>358</v>
      </c>
      <c r="E49" s="561" t="s">
        <v>9</v>
      </c>
      <c r="F49" s="499" t="s">
        <v>424</v>
      </c>
      <c r="G49" s="571" t="s">
        <v>420</v>
      </c>
      <c r="H49" s="571" t="s">
        <v>427</v>
      </c>
      <c r="I49" s="571" t="str">
        <f>Table1[[#This Row],[Staff]]</f>
        <v>Nicole</v>
      </c>
      <c r="J49" s="570">
        <f>Table1[[#This Row],[Date]]</f>
        <v>41145</v>
      </c>
      <c r="K49" s="526"/>
      <c r="L49" s="526"/>
    </row>
    <row r="50" spans="1:12" hidden="1">
      <c r="A50" s="569">
        <v>1</v>
      </c>
      <c r="B50" s="37">
        <v>48</v>
      </c>
      <c r="C50" s="570">
        <v>41145</v>
      </c>
      <c r="D50" s="561" t="s">
        <v>358</v>
      </c>
      <c r="E50" s="561" t="s">
        <v>9</v>
      </c>
      <c r="F50" s="499" t="s">
        <v>421</v>
      </c>
      <c r="G50" s="571" t="s">
        <v>420</v>
      </c>
      <c r="H50" s="571" t="s">
        <v>427</v>
      </c>
      <c r="I50" s="571" t="str">
        <f>Table1[[#This Row],[Staff]]</f>
        <v>Nicole</v>
      </c>
      <c r="J50" s="570">
        <f>Table1[[#This Row],[Date]]</f>
        <v>41145</v>
      </c>
      <c r="K50" s="526"/>
      <c r="L50" s="526"/>
    </row>
    <row r="51" spans="1:12" ht="28.5" hidden="1">
      <c r="A51" s="569">
        <v>1</v>
      </c>
      <c r="B51" s="37">
        <v>49</v>
      </c>
      <c r="C51" s="570">
        <v>41145</v>
      </c>
      <c r="D51" s="561" t="s">
        <v>358</v>
      </c>
      <c r="E51" s="561" t="s">
        <v>9</v>
      </c>
      <c r="F51" s="499" t="s">
        <v>431</v>
      </c>
      <c r="G51" s="571" t="s">
        <v>433</v>
      </c>
      <c r="H51" s="571" t="s">
        <v>434</v>
      </c>
      <c r="I51" s="571" t="str">
        <f>Table1[[#This Row],[Staff]]</f>
        <v>Nicole</v>
      </c>
      <c r="J51" s="570">
        <f>Table1[[#This Row],[Date]]</f>
        <v>41145</v>
      </c>
      <c r="K51" s="526"/>
      <c r="L51" s="526"/>
    </row>
    <row r="52" spans="1:12" ht="28.5" hidden="1">
      <c r="A52" s="569">
        <v>1</v>
      </c>
      <c r="B52" s="37">
        <v>50</v>
      </c>
      <c r="C52" s="570">
        <v>41145</v>
      </c>
      <c r="D52" s="561" t="s">
        <v>358</v>
      </c>
      <c r="E52" s="561" t="s">
        <v>9</v>
      </c>
      <c r="F52" s="499" t="s">
        <v>432</v>
      </c>
      <c r="G52" s="571" t="s">
        <v>433</v>
      </c>
      <c r="H52" s="571" t="s">
        <v>435</v>
      </c>
      <c r="I52" s="571" t="str">
        <f>Table1[[#This Row],[Staff]]</f>
        <v>Nicole</v>
      </c>
      <c r="J52" s="570">
        <f>Table1[[#This Row],[Date]]</f>
        <v>41145</v>
      </c>
      <c r="K52" s="526"/>
      <c r="L52" s="526"/>
    </row>
    <row r="53" spans="1:12" hidden="1">
      <c r="A53" s="569">
        <v>1</v>
      </c>
      <c r="B53" s="37">
        <v>51</v>
      </c>
      <c r="C53" s="570">
        <v>41145</v>
      </c>
      <c r="D53" s="561" t="s">
        <v>358</v>
      </c>
      <c r="E53" s="561" t="s">
        <v>381</v>
      </c>
      <c r="F53" s="499" t="s">
        <v>436</v>
      </c>
      <c r="G53" s="571" t="s">
        <v>420</v>
      </c>
      <c r="H53" s="571" t="s">
        <v>427</v>
      </c>
      <c r="I53" s="571" t="str">
        <f>Table1[[#This Row],[Staff]]</f>
        <v>Nicole</v>
      </c>
      <c r="J53" s="570">
        <f>Table1[[#This Row],[Date]]</f>
        <v>41145</v>
      </c>
      <c r="K53" s="526"/>
      <c r="L53" s="526"/>
    </row>
    <row r="54" spans="1:12" hidden="1">
      <c r="A54" s="569">
        <v>1</v>
      </c>
      <c r="B54" s="37">
        <v>52</v>
      </c>
      <c r="C54" s="570">
        <v>41145</v>
      </c>
      <c r="D54" s="561" t="s">
        <v>358</v>
      </c>
      <c r="E54" s="561" t="s">
        <v>381</v>
      </c>
      <c r="F54" s="499" t="s">
        <v>437</v>
      </c>
      <c r="G54" s="571" t="s">
        <v>420</v>
      </c>
      <c r="H54" s="571" t="s">
        <v>427</v>
      </c>
      <c r="I54" s="571" t="str">
        <f>Table1[[#This Row],[Staff]]</f>
        <v>Nicole</v>
      </c>
      <c r="J54" s="570">
        <f>Table1[[#This Row],[Date]]</f>
        <v>41145</v>
      </c>
      <c r="K54" s="526"/>
      <c r="L54" s="526"/>
    </row>
    <row r="55" spans="1:12" hidden="1">
      <c r="A55" s="569">
        <v>1</v>
      </c>
      <c r="B55" s="37">
        <v>53</v>
      </c>
      <c r="C55" s="570">
        <v>41145</v>
      </c>
      <c r="D55" s="561" t="s">
        <v>358</v>
      </c>
      <c r="E55" s="561" t="s">
        <v>381</v>
      </c>
      <c r="F55" s="499" t="s">
        <v>438</v>
      </c>
      <c r="G55" s="571" t="s">
        <v>420</v>
      </c>
      <c r="H55" s="571" t="s">
        <v>427</v>
      </c>
      <c r="I55" s="571" t="str">
        <f>Table1[[#This Row],[Staff]]</f>
        <v>Nicole</v>
      </c>
      <c r="J55" s="570">
        <f>Table1[[#This Row],[Date]]</f>
        <v>41145</v>
      </c>
      <c r="K55" s="526"/>
      <c r="L55" s="526"/>
    </row>
    <row r="56" spans="1:12" hidden="1">
      <c r="A56" s="569">
        <v>1</v>
      </c>
      <c r="B56" s="37">
        <v>54</v>
      </c>
      <c r="C56" s="570">
        <v>41145</v>
      </c>
      <c r="D56" s="561" t="s">
        <v>358</v>
      </c>
      <c r="E56" s="561" t="s">
        <v>381</v>
      </c>
      <c r="F56" s="499" t="s">
        <v>439</v>
      </c>
      <c r="G56" s="571" t="s">
        <v>420</v>
      </c>
      <c r="H56" s="571" t="s">
        <v>427</v>
      </c>
      <c r="I56" s="571" t="str">
        <f>Table1[[#This Row],[Staff]]</f>
        <v>Nicole</v>
      </c>
      <c r="J56" s="570">
        <f>Table1[[#This Row],[Date]]</f>
        <v>41145</v>
      </c>
      <c r="K56" s="526"/>
      <c r="L56" s="526"/>
    </row>
    <row r="57" spans="1:12" hidden="1">
      <c r="A57" s="569">
        <v>1</v>
      </c>
      <c r="B57" s="37">
        <v>55</v>
      </c>
      <c r="C57" s="570">
        <v>41145</v>
      </c>
      <c r="D57" s="561" t="s">
        <v>358</v>
      </c>
      <c r="E57" s="561" t="s">
        <v>381</v>
      </c>
      <c r="F57" s="499" t="s">
        <v>440</v>
      </c>
      <c r="G57" s="571" t="s">
        <v>420</v>
      </c>
      <c r="H57" s="571" t="s">
        <v>427</v>
      </c>
      <c r="I57" s="571" t="str">
        <f>Table1[[#This Row],[Staff]]</f>
        <v>Nicole</v>
      </c>
      <c r="J57" s="570">
        <f>Table1[[#This Row],[Date]]</f>
        <v>41145</v>
      </c>
      <c r="K57" s="526"/>
      <c r="L57" s="526"/>
    </row>
    <row r="58" spans="1:12" hidden="1">
      <c r="A58" s="569">
        <v>1</v>
      </c>
      <c r="B58" s="37">
        <v>56</v>
      </c>
      <c r="C58" s="570">
        <v>41145</v>
      </c>
      <c r="D58" s="561" t="s">
        <v>358</v>
      </c>
      <c r="E58" s="561" t="s">
        <v>381</v>
      </c>
      <c r="F58" s="499" t="s">
        <v>441</v>
      </c>
      <c r="G58" s="571" t="s">
        <v>420</v>
      </c>
      <c r="H58" s="571" t="s">
        <v>427</v>
      </c>
      <c r="I58" s="571" t="str">
        <f>Table1[[#This Row],[Staff]]</f>
        <v>Nicole</v>
      </c>
      <c r="J58" s="570">
        <f>Table1[[#This Row],[Date]]</f>
        <v>41145</v>
      </c>
      <c r="K58" s="526"/>
      <c r="L58" s="526"/>
    </row>
    <row r="59" spans="1:12" hidden="1">
      <c r="A59" s="569">
        <v>1</v>
      </c>
      <c r="B59" s="37">
        <v>57</v>
      </c>
      <c r="C59" s="570">
        <v>41145</v>
      </c>
      <c r="D59" s="561" t="s">
        <v>358</v>
      </c>
      <c r="E59" s="561" t="s">
        <v>381</v>
      </c>
      <c r="F59" s="499" t="s">
        <v>442</v>
      </c>
      <c r="G59" s="571" t="s">
        <v>420</v>
      </c>
      <c r="H59" s="571" t="s">
        <v>427</v>
      </c>
      <c r="I59" s="571" t="str">
        <f>Table1[[#This Row],[Staff]]</f>
        <v>Nicole</v>
      </c>
      <c r="J59" s="570">
        <f>Table1[[#This Row],[Date]]</f>
        <v>41145</v>
      </c>
      <c r="K59" s="526"/>
      <c r="L59" s="526"/>
    </row>
    <row r="60" spans="1:12" hidden="1">
      <c r="A60" s="569">
        <v>1</v>
      </c>
      <c r="B60" s="37">
        <v>58</v>
      </c>
      <c r="C60" s="570">
        <v>41145</v>
      </c>
      <c r="D60" s="561" t="s">
        <v>358</v>
      </c>
      <c r="E60" s="561" t="s">
        <v>381</v>
      </c>
      <c r="F60" s="499" t="s">
        <v>443</v>
      </c>
      <c r="G60" s="571" t="s">
        <v>420</v>
      </c>
      <c r="H60" s="571" t="s">
        <v>427</v>
      </c>
      <c r="I60" s="571" t="str">
        <f>Table1[[#This Row],[Staff]]</f>
        <v>Nicole</v>
      </c>
      <c r="J60" s="570">
        <f>Table1[[#This Row],[Date]]</f>
        <v>41145</v>
      </c>
      <c r="K60" s="526"/>
      <c r="L60" s="526"/>
    </row>
    <row r="61" spans="1:12" hidden="1">
      <c r="A61" s="569">
        <v>1</v>
      </c>
      <c r="B61" s="37">
        <v>59</v>
      </c>
      <c r="C61" s="570">
        <v>41145</v>
      </c>
      <c r="D61" s="561" t="s">
        <v>358</v>
      </c>
      <c r="E61" s="561" t="s">
        <v>381</v>
      </c>
      <c r="F61" s="499" t="s">
        <v>444</v>
      </c>
      <c r="G61" s="571" t="s">
        <v>420</v>
      </c>
      <c r="H61" s="571" t="s">
        <v>427</v>
      </c>
      <c r="I61" s="571" t="str">
        <f>Table1[[#This Row],[Staff]]</f>
        <v>Nicole</v>
      </c>
      <c r="J61" s="570">
        <f>Table1[[#This Row],[Date]]</f>
        <v>41145</v>
      </c>
      <c r="K61" s="526"/>
      <c r="L61" s="526"/>
    </row>
    <row r="62" spans="1:12" hidden="1">
      <c r="A62" s="569">
        <v>1</v>
      </c>
      <c r="B62" s="37">
        <v>60</v>
      </c>
      <c r="C62" s="570">
        <v>41145</v>
      </c>
      <c r="D62" s="561" t="s">
        <v>358</v>
      </c>
      <c r="E62" s="561" t="s">
        <v>381</v>
      </c>
      <c r="F62" s="499" t="s">
        <v>445</v>
      </c>
      <c r="G62" s="571" t="s">
        <v>420</v>
      </c>
      <c r="H62" s="571" t="s">
        <v>427</v>
      </c>
      <c r="I62" s="571" t="str">
        <f>Table1[[#This Row],[Staff]]</f>
        <v>Nicole</v>
      </c>
      <c r="J62" s="570">
        <f>Table1[[#This Row],[Date]]</f>
        <v>41145</v>
      </c>
      <c r="K62" s="526"/>
      <c r="L62" s="526"/>
    </row>
    <row r="63" spans="1:12" hidden="1">
      <c r="A63" s="569">
        <v>1</v>
      </c>
      <c r="B63" s="37">
        <v>61</v>
      </c>
      <c r="C63" s="570">
        <v>41145</v>
      </c>
      <c r="D63" s="561" t="s">
        <v>358</v>
      </c>
      <c r="E63" s="561" t="s">
        <v>384</v>
      </c>
      <c r="F63" s="499" t="s">
        <v>436</v>
      </c>
      <c r="G63" s="571" t="s">
        <v>420</v>
      </c>
      <c r="H63" s="571" t="s">
        <v>427</v>
      </c>
      <c r="I63" s="571" t="str">
        <f>Table1[[#This Row],[Staff]]</f>
        <v>Nicole</v>
      </c>
      <c r="J63" s="570">
        <f>Table1[[#This Row],[Date]]</f>
        <v>41145</v>
      </c>
      <c r="K63" s="526"/>
      <c r="L63" s="526"/>
    </row>
    <row r="64" spans="1:12" hidden="1">
      <c r="A64" s="569">
        <v>1</v>
      </c>
      <c r="B64" s="37">
        <v>62</v>
      </c>
      <c r="C64" s="570">
        <v>41145</v>
      </c>
      <c r="D64" s="561" t="s">
        <v>358</v>
      </c>
      <c r="E64" s="561" t="s">
        <v>384</v>
      </c>
      <c r="F64" s="499" t="s">
        <v>446</v>
      </c>
      <c r="G64" s="571" t="s">
        <v>420</v>
      </c>
      <c r="H64" s="571" t="s">
        <v>427</v>
      </c>
      <c r="I64" s="571" t="str">
        <f>Table1[[#This Row],[Staff]]</f>
        <v>Nicole</v>
      </c>
      <c r="J64" s="570">
        <f>Table1[[#This Row],[Date]]</f>
        <v>41145</v>
      </c>
      <c r="K64" s="526"/>
      <c r="L64" s="526"/>
    </row>
    <row r="65" spans="1:12" hidden="1">
      <c r="A65" s="569">
        <v>1</v>
      </c>
      <c r="B65" s="37">
        <v>63</v>
      </c>
      <c r="C65" s="570">
        <v>41145</v>
      </c>
      <c r="D65" s="561" t="s">
        <v>358</v>
      </c>
      <c r="E65" s="561" t="s">
        <v>384</v>
      </c>
      <c r="F65" s="499" t="s">
        <v>447</v>
      </c>
      <c r="G65" s="571" t="s">
        <v>420</v>
      </c>
      <c r="H65" s="571" t="s">
        <v>427</v>
      </c>
      <c r="I65" s="571" t="str">
        <f>Table1[[#This Row],[Staff]]</f>
        <v>Nicole</v>
      </c>
      <c r="J65" s="570">
        <f>Table1[[#This Row],[Date]]</f>
        <v>41145</v>
      </c>
      <c r="K65" s="526"/>
      <c r="L65" s="526"/>
    </row>
    <row r="66" spans="1:12" hidden="1">
      <c r="A66" s="569">
        <v>1</v>
      </c>
      <c r="B66" s="37">
        <v>64</v>
      </c>
      <c r="C66" s="570">
        <v>41145</v>
      </c>
      <c r="D66" s="561" t="s">
        <v>358</v>
      </c>
      <c r="E66" s="561" t="s">
        <v>384</v>
      </c>
      <c r="F66" s="499" t="s">
        <v>448</v>
      </c>
      <c r="G66" s="571" t="s">
        <v>420</v>
      </c>
      <c r="H66" s="571" t="s">
        <v>427</v>
      </c>
      <c r="I66" s="571" t="str">
        <f>Table1[[#This Row],[Staff]]</f>
        <v>Nicole</v>
      </c>
      <c r="J66" s="570">
        <f>Table1[[#This Row],[Date]]</f>
        <v>41145</v>
      </c>
      <c r="K66" s="526"/>
      <c r="L66" s="526"/>
    </row>
    <row r="67" spans="1:12" hidden="1">
      <c r="A67" s="569">
        <v>1</v>
      </c>
      <c r="B67" s="37">
        <v>65</v>
      </c>
      <c r="C67" s="570">
        <v>41145</v>
      </c>
      <c r="D67" s="561" t="s">
        <v>358</v>
      </c>
      <c r="E67" s="561" t="s">
        <v>384</v>
      </c>
      <c r="F67" s="499" t="s">
        <v>449</v>
      </c>
      <c r="G67" s="571" t="s">
        <v>420</v>
      </c>
      <c r="H67" s="571" t="s">
        <v>427</v>
      </c>
      <c r="I67" s="571" t="str">
        <f>Table1[[#This Row],[Staff]]</f>
        <v>Nicole</v>
      </c>
      <c r="J67" s="570">
        <f>Table1[[#This Row],[Date]]</f>
        <v>41145</v>
      </c>
      <c r="K67" s="526"/>
      <c r="L67" s="526"/>
    </row>
    <row r="68" spans="1:12" hidden="1">
      <c r="A68" s="569">
        <v>1</v>
      </c>
      <c r="B68" s="37">
        <v>66</v>
      </c>
      <c r="C68" s="570">
        <v>41145</v>
      </c>
      <c r="D68" s="561" t="s">
        <v>358</v>
      </c>
      <c r="E68" s="561" t="s">
        <v>384</v>
      </c>
      <c r="F68" s="499" t="s">
        <v>450</v>
      </c>
      <c r="G68" s="571" t="s">
        <v>420</v>
      </c>
      <c r="H68" s="571" t="s">
        <v>427</v>
      </c>
      <c r="I68" s="571" t="str">
        <f>Table1[[#This Row],[Staff]]</f>
        <v>Nicole</v>
      </c>
      <c r="J68" s="570">
        <f>Table1[[#This Row],[Date]]</f>
        <v>41145</v>
      </c>
      <c r="K68" s="526"/>
      <c r="L68" s="526"/>
    </row>
    <row r="69" spans="1:12" hidden="1">
      <c r="A69" s="569">
        <v>1</v>
      </c>
      <c r="B69" s="37">
        <v>67</v>
      </c>
      <c r="C69" s="570">
        <v>41145</v>
      </c>
      <c r="D69" s="561" t="s">
        <v>358</v>
      </c>
      <c r="E69" s="561" t="s">
        <v>384</v>
      </c>
      <c r="F69" s="499" t="s">
        <v>451</v>
      </c>
      <c r="G69" s="571" t="s">
        <v>420</v>
      </c>
      <c r="H69" s="571" t="s">
        <v>427</v>
      </c>
      <c r="I69" s="571" t="str">
        <f>Table1[[#This Row],[Staff]]</f>
        <v>Nicole</v>
      </c>
      <c r="J69" s="570">
        <f>Table1[[#This Row],[Date]]</f>
        <v>41145</v>
      </c>
      <c r="K69" s="526"/>
      <c r="L69" s="526"/>
    </row>
    <row r="70" spans="1:12" hidden="1">
      <c r="A70" s="569">
        <v>1</v>
      </c>
      <c r="B70" s="37">
        <v>68</v>
      </c>
      <c r="C70" s="570">
        <v>41145</v>
      </c>
      <c r="D70" s="561" t="s">
        <v>358</v>
      </c>
      <c r="E70" s="561" t="s">
        <v>384</v>
      </c>
      <c r="F70" s="499" t="s">
        <v>452</v>
      </c>
      <c r="G70" s="571" t="s">
        <v>420</v>
      </c>
      <c r="H70" s="571" t="s">
        <v>427</v>
      </c>
      <c r="I70" s="571" t="str">
        <f>Table1[[#This Row],[Staff]]</f>
        <v>Nicole</v>
      </c>
      <c r="J70" s="570">
        <f>Table1[[#This Row],[Date]]</f>
        <v>41145</v>
      </c>
      <c r="K70" s="526"/>
      <c r="L70" s="526"/>
    </row>
    <row r="71" spans="1:12" hidden="1">
      <c r="A71" s="569">
        <v>1</v>
      </c>
      <c r="B71" s="37">
        <v>69</v>
      </c>
      <c r="C71" s="570">
        <v>41145</v>
      </c>
      <c r="D71" s="561" t="s">
        <v>358</v>
      </c>
      <c r="E71" s="561" t="s">
        <v>381</v>
      </c>
      <c r="F71" s="499" t="s">
        <v>453</v>
      </c>
      <c r="G71" s="571" t="s">
        <v>454</v>
      </c>
      <c r="H71" s="571" t="s">
        <v>455</v>
      </c>
      <c r="I71" s="571" t="str">
        <f>Table1[[#This Row],[Staff]]</f>
        <v>Nicole</v>
      </c>
      <c r="J71" s="570">
        <f>Table1[[#This Row],[Date]]</f>
        <v>41145</v>
      </c>
      <c r="K71" s="526"/>
      <c r="L71" s="526"/>
    </row>
    <row r="72" spans="1:12" hidden="1">
      <c r="A72" s="569">
        <v>1</v>
      </c>
      <c r="B72" s="37">
        <v>70</v>
      </c>
      <c r="C72" s="570">
        <v>41145</v>
      </c>
      <c r="D72" s="561" t="s">
        <v>358</v>
      </c>
      <c r="E72" s="561" t="s">
        <v>61</v>
      </c>
      <c r="F72" s="499" t="s">
        <v>421</v>
      </c>
      <c r="G72" s="571" t="s">
        <v>420</v>
      </c>
      <c r="H72" s="571" t="s">
        <v>427</v>
      </c>
      <c r="I72" s="571" t="str">
        <f>Table1[[#This Row],[Staff]]</f>
        <v>Nicole</v>
      </c>
      <c r="J72" s="570">
        <f>Table1[[#This Row],[Date]]</f>
        <v>41145</v>
      </c>
      <c r="K72" s="526"/>
      <c r="L72" s="526"/>
    </row>
    <row r="73" spans="1:12" hidden="1">
      <c r="A73" s="569">
        <v>1</v>
      </c>
      <c r="B73" s="37">
        <v>71</v>
      </c>
      <c r="C73" s="570">
        <v>41145</v>
      </c>
      <c r="D73" s="561" t="s">
        <v>358</v>
      </c>
      <c r="E73" s="561" t="s">
        <v>61</v>
      </c>
      <c r="F73" s="499" t="s">
        <v>456</v>
      </c>
      <c r="G73" s="571" t="s">
        <v>420</v>
      </c>
      <c r="H73" s="571" t="s">
        <v>427</v>
      </c>
      <c r="I73" s="571" t="str">
        <f>Table1[[#This Row],[Staff]]</f>
        <v>Nicole</v>
      </c>
      <c r="J73" s="570">
        <f>Table1[[#This Row],[Date]]</f>
        <v>41145</v>
      </c>
      <c r="K73" s="526"/>
      <c r="L73" s="526"/>
    </row>
    <row r="74" spans="1:12" hidden="1">
      <c r="A74" s="569">
        <v>1</v>
      </c>
      <c r="B74" s="37">
        <v>72</v>
      </c>
      <c r="C74" s="570">
        <v>41145</v>
      </c>
      <c r="D74" s="561" t="s">
        <v>358</v>
      </c>
      <c r="E74" s="561" t="s">
        <v>61</v>
      </c>
      <c r="F74" s="499" t="s">
        <v>457</v>
      </c>
      <c r="G74" s="571" t="s">
        <v>420</v>
      </c>
      <c r="H74" s="571" t="s">
        <v>427</v>
      </c>
      <c r="I74" s="571" t="str">
        <f>Table1[[#This Row],[Staff]]</f>
        <v>Nicole</v>
      </c>
      <c r="J74" s="570">
        <f>Table1[[#This Row],[Date]]</f>
        <v>41145</v>
      </c>
      <c r="K74" s="526"/>
      <c r="L74" s="526"/>
    </row>
    <row r="75" spans="1:12" hidden="1">
      <c r="A75" s="569">
        <v>1</v>
      </c>
      <c r="B75" s="37">
        <v>73</v>
      </c>
      <c r="C75" s="570">
        <v>41145</v>
      </c>
      <c r="D75" s="561" t="s">
        <v>358</v>
      </c>
      <c r="E75" s="561" t="s">
        <v>61</v>
      </c>
      <c r="F75" s="499" t="s">
        <v>458</v>
      </c>
      <c r="G75" s="571" t="s">
        <v>420</v>
      </c>
      <c r="H75" s="571" t="s">
        <v>427</v>
      </c>
      <c r="I75" s="571" t="str">
        <f>Table1[[#This Row],[Staff]]</f>
        <v>Nicole</v>
      </c>
      <c r="J75" s="570">
        <f>Table1[[#This Row],[Date]]</f>
        <v>41145</v>
      </c>
      <c r="K75" s="526"/>
      <c r="L75" s="526"/>
    </row>
    <row r="76" spans="1:12" hidden="1">
      <c r="A76" s="569">
        <v>1</v>
      </c>
      <c r="B76" s="37">
        <v>74</v>
      </c>
      <c r="C76" s="570">
        <v>41145</v>
      </c>
      <c r="D76" s="561" t="s">
        <v>358</v>
      </c>
      <c r="E76" s="561" t="s">
        <v>61</v>
      </c>
      <c r="F76" s="499" t="s">
        <v>459</v>
      </c>
      <c r="G76" s="571" t="s">
        <v>420</v>
      </c>
      <c r="H76" s="571" t="s">
        <v>427</v>
      </c>
      <c r="I76" s="571" t="str">
        <f>Table1[[#This Row],[Staff]]</f>
        <v>Nicole</v>
      </c>
      <c r="J76" s="570">
        <f>Table1[[#This Row],[Date]]</f>
        <v>41145</v>
      </c>
      <c r="K76" s="526"/>
      <c r="L76" s="526"/>
    </row>
    <row r="77" spans="1:12" hidden="1">
      <c r="A77" s="569">
        <v>1</v>
      </c>
      <c r="B77" s="37">
        <v>75</v>
      </c>
      <c r="C77" s="570">
        <v>41145</v>
      </c>
      <c r="D77" s="561" t="s">
        <v>358</v>
      </c>
      <c r="E77" s="561" t="s">
        <v>61</v>
      </c>
      <c r="F77" s="499" t="s">
        <v>460</v>
      </c>
      <c r="G77" s="571" t="s">
        <v>420</v>
      </c>
      <c r="H77" s="571" t="s">
        <v>427</v>
      </c>
      <c r="I77" s="571" t="str">
        <f>Table1[[#This Row],[Staff]]</f>
        <v>Nicole</v>
      </c>
      <c r="J77" s="570">
        <f>Table1[[#This Row],[Date]]</f>
        <v>41145</v>
      </c>
      <c r="K77" s="526"/>
      <c r="L77" s="526"/>
    </row>
    <row r="78" spans="1:12" hidden="1">
      <c r="A78" s="569">
        <v>1</v>
      </c>
      <c r="B78" s="37">
        <v>76</v>
      </c>
      <c r="C78" s="570">
        <v>41145</v>
      </c>
      <c r="D78" s="574" t="s">
        <v>358</v>
      </c>
      <c r="E78" s="561" t="s">
        <v>389</v>
      </c>
      <c r="F78" s="499" t="s">
        <v>461</v>
      </c>
      <c r="G78" s="571" t="s">
        <v>420</v>
      </c>
      <c r="H78" s="571" t="s">
        <v>427</v>
      </c>
      <c r="I78" s="571" t="str">
        <f>Table1[[#This Row],[Staff]]</f>
        <v>Nicole</v>
      </c>
      <c r="J78" s="570">
        <f>Table1[[#This Row],[Date]]</f>
        <v>41145</v>
      </c>
      <c r="K78" s="526"/>
      <c r="L78" s="526"/>
    </row>
    <row r="79" spans="1:12" hidden="1">
      <c r="A79" s="569">
        <v>1</v>
      </c>
      <c r="B79" s="37">
        <v>77</v>
      </c>
      <c r="C79" s="570">
        <v>41145</v>
      </c>
      <c r="D79" s="574" t="s">
        <v>358</v>
      </c>
      <c r="E79" s="561" t="s">
        <v>389</v>
      </c>
      <c r="F79" s="499" t="s">
        <v>462</v>
      </c>
      <c r="G79" s="571" t="s">
        <v>420</v>
      </c>
      <c r="H79" s="571" t="s">
        <v>427</v>
      </c>
      <c r="I79" s="571" t="str">
        <f>Table1[[#This Row],[Staff]]</f>
        <v>Nicole</v>
      </c>
      <c r="J79" s="570">
        <f>Table1[[#This Row],[Date]]</f>
        <v>41145</v>
      </c>
      <c r="K79" s="526"/>
      <c r="L79" s="526"/>
    </row>
    <row r="80" spans="1:12" hidden="1">
      <c r="A80" s="569">
        <v>1</v>
      </c>
      <c r="B80" s="37">
        <v>78</v>
      </c>
      <c r="C80" s="570">
        <v>41145</v>
      </c>
      <c r="D80" s="574" t="s">
        <v>358</v>
      </c>
      <c r="E80" s="561" t="s">
        <v>389</v>
      </c>
      <c r="F80" s="499" t="s">
        <v>423</v>
      </c>
      <c r="G80" s="571" t="s">
        <v>420</v>
      </c>
      <c r="H80" s="571" t="s">
        <v>427</v>
      </c>
      <c r="I80" s="571" t="str">
        <f>Table1[[#This Row],[Staff]]</f>
        <v>Nicole</v>
      </c>
      <c r="J80" s="570">
        <f>Table1[[#This Row],[Date]]</f>
        <v>41145</v>
      </c>
      <c r="K80" s="526"/>
      <c r="L80" s="526"/>
    </row>
    <row r="81" spans="1:35" hidden="1">
      <c r="A81" s="569">
        <v>1</v>
      </c>
      <c r="B81" s="37">
        <v>79</v>
      </c>
      <c r="C81" s="570">
        <v>41145</v>
      </c>
      <c r="D81" s="574" t="s">
        <v>358</v>
      </c>
      <c r="E81" s="561" t="s">
        <v>389</v>
      </c>
      <c r="F81" s="499" t="s">
        <v>463</v>
      </c>
      <c r="G81" s="571" t="s">
        <v>420</v>
      </c>
      <c r="H81" s="571" t="s">
        <v>427</v>
      </c>
      <c r="I81" s="571" t="str">
        <f>Table1[[#This Row],[Staff]]</f>
        <v>Nicole</v>
      </c>
      <c r="J81" s="570">
        <f>Table1[[#This Row],[Date]]</f>
        <v>41145</v>
      </c>
      <c r="K81" s="526"/>
      <c r="L81" s="526"/>
    </row>
    <row r="82" spans="1:35" hidden="1">
      <c r="A82" s="569">
        <v>1</v>
      </c>
      <c r="B82" s="37">
        <v>80</v>
      </c>
      <c r="C82" s="570">
        <v>41145</v>
      </c>
      <c r="D82" s="574" t="s">
        <v>358</v>
      </c>
      <c r="E82" s="561" t="s">
        <v>389</v>
      </c>
      <c r="F82" s="499" t="s">
        <v>464</v>
      </c>
      <c r="G82" s="571" t="s">
        <v>420</v>
      </c>
      <c r="H82" s="571" t="s">
        <v>427</v>
      </c>
      <c r="I82" s="571" t="str">
        <f>Table1[[#This Row],[Staff]]</f>
        <v>Nicole</v>
      </c>
      <c r="J82" s="570">
        <f>Table1[[#This Row],[Date]]</f>
        <v>41145</v>
      </c>
      <c r="K82" s="526"/>
      <c r="L82" s="526"/>
    </row>
    <row r="83" spans="1:35" hidden="1">
      <c r="A83" s="569">
        <v>1</v>
      </c>
      <c r="B83" s="37">
        <v>81</v>
      </c>
      <c r="C83" s="570">
        <v>41145</v>
      </c>
      <c r="D83" s="574" t="s">
        <v>358</v>
      </c>
      <c r="E83" s="561" t="s">
        <v>389</v>
      </c>
      <c r="F83" s="499" t="s">
        <v>465</v>
      </c>
      <c r="G83" s="571" t="s">
        <v>420</v>
      </c>
      <c r="H83" s="571" t="s">
        <v>427</v>
      </c>
      <c r="I83" s="571" t="str">
        <f>Table1[[#This Row],[Staff]]</f>
        <v>Nicole</v>
      </c>
      <c r="J83" s="570">
        <f>Table1[[#This Row],[Date]]</f>
        <v>41145</v>
      </c>
      <c r="K83" s="526"/>
      <c r="L83" s="526"/>
    </row>
    <row r="84" spans="1:35" hidden="1">
      <c r="A84" s="569">
        <v>1</v>
      </c>
      <c r="B84" s="37">
        <v>82</v>
      </c>
      <c r="C84" s="570">
        <v>41148</v>
      </c>
      <c r="D84" s="576" t="s">
        <v>358</v>
      </c>
      <c r="E84" s="576" t="s">
        <v>391</v>
      </c>
      <c r="F84" s="499" t="s">
        <v>461</v>
      </c>
      <c r="G84" s="571" t="s">
        <v>420</v>
      </c>
      <c r="H84" s="571" t="s">
        <v>427</v>
      </c>
      <c r="I84" s="571" t="str">
        <f>Table1[[#This Row],[Staff]]</f>
        <v>Nicole</v>
      </c>
      <c r="J84" s="570">
        <f>Table1[[#This Row],[Date]]</f>
        <v>41148</v>
      </c>
      <c r="K84" s="526"/>
      <c r="L84" s="526"/>
    </row>
    <row r="85" spans="1:35" s="574" customFormat="1" hidden="1">
      <c r="A85" s="569">
        <v>1</v>
      </c>
      <c r="B85" s="37">
        <v>83</v>
      </c>
      <c r="C85" s="570">
        <v>41148</v>
      </c>
      <c r="D85" s="576" t="s">
        <v>358</v>
      </c>
      <c r="E85" s="576" t="s">
        <v>391</v>
      </c>
      <c r="F85" s="499" t="s">
        <v>470</v>
      </c>
      <c r="G85" s="571" t="s">
        <v>420</v>
      </c>
      <c r="H85" s="571" t="s">
        <v>427</v>
      </c>
      <c r="I85" s="571" t="str">
        <f>Table1[[#This Row],[Staff]]</f>
        <v>Nicole</v>
      </c>
      <c r="J85" s="570">
        <f>Table1[[#This Row],[Date]]</f>
        <v>41148</v>
      </c>
      <c r="K85" s="526"/>
      <c r="L85" s="526"/>
      <c r="AF85" s="499"/>
      <c r="AG85" s="499"/>
      <c r="AH85" s="499"/>
      <c r="AI85" s="499"/>
    </row>
    <row r="86" spans="1:35" s="574" customFormat="1" hidden="1">
      <c r="A86" s="569">
        <v>1</v>
      </c>
      <c r="B86" s="37">
        <v>84</v>
      </c>
      <c r="C86" s="570">
        <v>41148</v>
      </c>
      <c r="D86" s="576" t="s">
        <v>358</v>
      </c>
      <c r="E86" s="576" t="s">
        <v>391</v>
      </c>
      <c r="F86" s="499" t="s">
        <v>462</v>
      </c>
      <c r="G86" s="571" t="s">
        <v>420</v>
      </c>
      <c r="H86" s="571" t="s">
        <v>427</v>
      </c>
      <c r="I86" s="571" t="str">
        <f>Table1[[#This Row],[Staff]]</f>
        <v>Nicole</v>
      </c>
      <c r="J86" s="570">
        <f>Table1[[#This Row],[Date]]</f>
        <v>41148</v>
      </c>
      <c r="K86" s="526"/>
      <c r="L86" s="526"/>
      <c r="AF86" s="499"/>
      <c r="AG86" s="499"/>
      <c r="AH86" s="499"/>
      <c r="AI86" s="499"/>
    </row>
    <row r="87" spans="1:35" s="574" customFormat="1" hidden="1">
      <c r="A87" s="569">
        <v>1</v>
      </c>
      <c r="B87" s="37">
        <v>85</v>
      </c>
      <c r="C87" s="570">
        <v>41148</v>
      </c>
      <c r="D87" s="576" t="s">
        <v>358</v>
      </c>
      <c r="E87" s="576" t="s">
        <v>391</v>
      </c>
      <c r="F87" s="499" t="s">
        <v>423</v>
      </c>
      <c r="G87" s="571" t="s">
        <v>420</v>
      </c>
      <c r="H87" s="571" t="s">
        <v>427</v>
      </c>
      <c r="I87" s="571" t="str">
        <f>Table1[[#This Row],[Staff]]</f>
        <v>Nicole</v>
      </c>
      <c r="J87" s="570">
        <f>Table1[[#This Row],[Date]]</f>
        <v>41148</v>
      </c>
      <c r="K87" s="526"/>
      <c r="L87" s="526"/>
      <c r="AF87" s="499"/>
      <c r="AG87" s="499"/>
      <c r="AH87" s="499"/>
      <c r="AI87" s="499"/>
    </row>
    <row r="88" spans="1:35" s="574" customFormat="1" hidden="1">
      <c r="A88" s="569">
        <v>1</v>
      </c>
      <c r="B88" s="37">
        <v>86</v>
      </c>
      <c r="C88" s="570">
        <v>41148</v>
      </c>
      <c r="D88" s="576" t="s">
        <v>358</v>
      </c>
      <c r="E88" s="576" t="s">
        <v>391</v>
      </c>
      <c r="F88" s="499" t="s">
        <v>463</v>
      </c>
      <c r="G88" s="571" t="s">
        <v>420</v>
      </c>
      <c r="H88" s="571" t="s">
        <v>427</v>
      </c>
      <c r="I88" s="571" t="str">
        <f>Table1[[#This Row],[Staff]]</f>
        <v>Nicole</v>
      </c>
      <c r="J88" s="570">
        <f>Table1[[#This Row],[Date]]</f>
        <v>41148</v>
      </c>
      <c r="K88" s="526"/>
      <c r="L88" s="526"/>
      <c r="AF88" s="499"/>
      <c r="AG88" s="499"/>
      <c r="AH88" s="499"/>
      <c r="AI88" s="499"/>
    </row>
    <row r="89" spans="1:35" s="574" customFormat="1" hidden="1">
      <c r="A89" s="569">
        <v>1</v>
      </c>
      <c r="B89" s="37">
        <v>87</v>
      </c>
      <c r="C89" s="570">
        <v>41148</v>
      </c>
      <c r="D89" s="576" t="s">
        <v>358</v>
      </c>
      <c r="E89" s="576" t="s">
        <v>391</v>
      </c>
      <c r="F89" s="499" t="s">
        <v>464</v>
      </c>
      <c r="G89" s="571" t="s">
        <v>420</v>
      </c>
      <c r="H89" s="571" t="s">
        <v>427</v>
      </c>
      <c r="I89" s="571" t="str">
        <f>Table1[[#This Row],[Staff]]</f>
        <v>Nicole</v>
      </c>
      <c r="J89" s="570">
        <f>Table1[[#This Row],[Date]]</f>
        <v>41148</v>
      </c>
      <c r="K89" s="526"/>
      <c r="L89" s="526"/>
      <c r="AF89" s="499"/>
      <c r="AG89" s="499"/>
      <c r="AH89" s="499"/>
      <c r="AI89" s="499"/>
    </row>
    <row r="90" spans="1:35" s="574" customFormat="1" hidden="1">
      <c r="A90" s="569">
        <v>1</v>
      </c>
      <c r="B90" s="37">
        <v>88</v>
      </c>
      <c r="C90" s="570">
        <v>41148</v>
      </c>
      <c r="D90" s="576" t="s">
        <v>358</v>
      </c>
      <c r="E90" s="576" t="s">
        <v>391</v>
      </c>
      <c r="F90" s="499" t="s">
        <v>465</v>
      </c>
      <c r="G90" s="571" t="s">
        <v>420</v>
      </c>
      <c r="H90" s="571" t="s">
        <v>427</v>
      </c>
      <c r="I90" s="571" t="str">
        <f>Table1[[#This Row],[Staff]]</f>
        <v>Nicole</v>
      </c>
      <c r="J90" s="570">
        <f>Table1[[#This Row],[Date]]</f>
        <v>41148</v>
      </c>
      <c r="K90" s="526"/>
      <c r="L90" s="526"/>
      <c r="AF90" s="499"/>
      <c r="AG90" s="499"/>
      <c r="AH90" s="499"/>
      <c r="AI90" s="499"/>
    </row>
    <row r="91" spans="1:35" s="574" customFormat="1" hidden="1">
      <c r="A91" s="569">
        <v>1</v>
      </c>
      <c r="B91" s="37">
        <v>89</v>
      </c>
      <c r="C91" s="570">
        <v>41148</v>
      </c>
      <c r="D91" s="576" t="s">
        <v>358</v>
      </c>
      <c r="E91" s="576" t="s">
        <v>397</v>
      </c>
      <c r="F91" s="499" t="s">
        <v>461</v>
      </c>
      <c r="G91" s="571" t="s">
        <v>420</v>
      </c>
      <c r="H91" s="571" t="s">
        <v>427</v>
      </c>
      <c r="I91" s="571" t="str">
        <f>Table1[[#This Row],[Staff]]</f>
        <v>Nicole</v>
      </c>
      <c r="J91" s="570">
        <f>Table1[[#This Row],[Date]]</f>
        <v>41148</v>
      </c>
      <c r="K91" s="526"/>
      <c r="L91" s="526"/>
      <c r="AF91" s="499"/>
      <c r="AG91" s="499"/>
      <c r="AH91" s="499"/>
      <c r="AI91" s="499"/>
    </row>
    <row r="92" spans="1:35" s="574" customFormat="1" hidden="1">
      <c r="A92" s="569">
        <v>1</v>
      </c>
      <c r="B92" s="37">
        <v>90</v>
      </c>
      <c r="C92" s="570">
        <v>41148</v>
      </c>
      <c r="D92" s="576" t="s">
        <v>358</v>
      </c>
      <c r="E92" s="576" t="s">
        <v>397</v>
      </c>
      <c r="F92" s="499" t="s">
        <v>462</v>
      </c>
      <c r="G92" s="571" t="s">
        <v>420</v>
      </c>
      <c r="H92" s="571" t="s">
        <v>427</v>
      </c>
      <c r="I92" s="571" t="str">
        <f>Table1[[#This Row],[Staff]]</f>
        <v>Nicole</v>
      </c>
      <c r="J92" s="570">
        <f>Table1[[#This Row],[Date]]</f>
        <v>41148</v>
      </c>
      <c r="K92" s="526"/>
      <c r="L92" s="526"/>
      <c r="AF92" s="499"/>
      <c r="AG92" s="499"/>
      <c r="AH92" s="499"/>
      <c r="AI92" s="499"/>
    </row>
    <row r="93" spans="1:35" s="574" customFormat="1" hidden="1">
      <c r="A93" s="569">
        <v>1</v>
      </c>
      <c r="B93" s="37">
        <v>91</v>
      </c>
      <c r="C93" s="570">
        <v>41148</v>
      </c>
      <c r="D93" s="576" t="s">
        <v>358</v>
      </c>
      <c r="E93" s="576" t="s">
        <v>397</v>
      </c>
      <c r="F93" s="499" t="s">
        <v>423</v>
      </c>
      <c r="G93" s="571" t="s">
        <v>420</v>
      </c>
      <c r="H93" s="571" t="s">
        <v>427</v>
      </c>
      <c r="I93" s="571" t="str">
        <f>Table1[[#This Row],[Staff]]</f>
        <v>Nicole</v>
      </c>
      <c r="J93" s="570">
        <f>Table1[[#This Row],[Date]]</f>
        <v>41148</v>
      </c>
      <c r="K93" s="526"/>
      <c r="L93" s="526"/>
      <c r="AF93" s="499"/>
      <c r="AG93" s="499"/>
      <c r="AH93" s="499"/>
      <c r="AI93" s="499"/>
    </row>
    <row r="94" spans="1:35" s="574" customFormat="1" hidden="1">
      <c r="A94" s="569">
        <v>1</v>
      </c>
      <c r="B94" s="37">
        <v>92</v>
      </c>
      <c r="C94" s="570">
        <v>41148</v>
      </c>
      <c r="D94" s="576" t="s">
        <v>358</v>
      </c>
      <c r="E94" s="576" t="s">
        <v>397</v>
      </c>
      <c r="F94" s="499" t="s">
        <v>463</v>
      </c>
      <c r="G94" s="571" t="s">
        <v>420</v>
      </c>
      <c r="H94" s="571" t="s">
        <v>427</v>
      </c>
      <c r="I94" s="571" t="str">
        <f>Table1[[#This Row],[Staff]]</f>
        <v>Nicole</v>
      </c>
      <c r="J94" s="570">
        <f>Table1[[#This Row],[Date]]</f>
        <v>41148</v>
      </c>
      <c r="K94" s="526"/>
      <c r="L94" s="526"/>
      <c r="AF94" s="499"/>
      <c r="AG94" s="499"/>
      <c r="AH94" s="499"/>
      <c r="AI94" s="499"/>
    </row>
    <row r="95" spans="1:35" s="574" customFormat="1" hidden="1">
      <c r="A95" s="569">
        <v>1</v>
      </c>
      <c r="B95" s="37">
        <v>93</v>
      </c>
      <c r="C95" s="570">
        <v>41148</v>
      </c>
      <c r="D95" s="576" t="s">
        <v>358</v>
      </c>
      <c r="E95" s="576" t="s">
        <v>397</v>
      </c>
      <c r="F95" s="499" t="s">
        <v>464</v>
      </c>
      <c r="G95" s="571" t="s">
        <v>420</v>
      </c>
      <c r="H95" s="571" t="s">
        <v>427</v>
      </c>
      <c r="I95" s="571" t="str">
        <f>Table1[[#This Row],[Staff]]</f>
        <v>Nicole</v>
      </c>
      <c r="J95" s="570">
        <f>Table1[[#This Row],[Date]]</f>
        <v>41148</v>
      </c>
      <c r="K95" s="526"/>
      <c r="L95" s="526"/>
      <c r="AF95" s="499"/>
      <c r="AG95" s="499"/>
      <c r="AH95" s="499"/>
      <c r="AI95" s="499"/>
    </row>
    <row r="96" spans="1:35" s="574" customFormat="1" hidden="1">
      <c r="A96" s="569">
        <v>1</v>
      </c>
      <c r="B96" s="37">
        <v>94</v>
      </c>
      <c r="C96" s="570">
        <v>41148</v>
      </c>
      <c r="D96" s="576" t="s">
        <v>358</v>
      </c>
      <c r="E96" s="576" t="s">
        <v>397</v>
      </c>
      <c r="F96" s="499" t="s">
        <v>465</v>
      </c>
      <c r="G96" s="571" t="s">
        <v>420</v>
      </c>
      <c r="H96" s="571" t="s">
        <v>427</v>
      </c>
      <c r="I96" s="571" t="str">
        <f>Table1[[#This Row],[Staff]]</f>
        <v>Nicole</v>
      </c>
      <c r="J96" s="570">
        <f>Table1[[#This Row],[Date]]</f>
        <v>41148</v>
      </c>
      <c r="K96" s="526"/>
      <c r="L96" s="526"/>
      <c r="AF96" s="499"/>
      <c r="AG96" s="499"/>
      <c r="AH96" s="499"/>
      <c r="AI96" s="499"/>
    </row>
    <row r="97" spans="1:35" s="574" customFormat="1" hidden="1">
      <c r="A97" s="569">
        <v>1</v>
      </c>
      <c r="B97" s="37">
        <v>95</v>
      </c>
      <c r="C97" s="570">
        <v>41148</v>
      </c>
      <c r="D97" s="576" t="s">
        <v>358</v>
      </c>
      <c r="E97" s="576" t="s">
        <v>397</v>
      </c>
      <c r="F97" s="499" t="s">
        <v>471</v>
      </c>
      <c r="G97" s="571" t="s">
        <v>420</v>
      </c>
      <c r="H97" s="571" t="s">
        <v>427</v>
      </c>
      <c r="I97" s="571" t="str">
        <f>Table1[[#This Row],[Staff]]</f>
        <v>Nicole</v>
      </c>
      <c r="J97" s="570">
        <f>Table1[[#This Row],[Date]]</f>
        <v>41148</v>
      </c>
      <c r="K97" s="526"/>
      <c r="L97" s="526"/>
      <c r="AF97" s="499"/>
      <c r="AG97" s="499"/>
      <c r="AH97" s="499"/>
      <c r="AI97" s="499"/>
    </row>
    <row r="98" spans="1:35" s="574" customFormat="1" hidden="1">
      <c r="A98" s="569">
        <v>1</v>
      </c>
      <c r="B98" s="37">
        <v>96</v>
      </c>
      <c r="C98" s="570">
        <v>41148</v>
      </c>
      <c r="D98" s="576" t="s">
        <v>358</v>
      </c>
      <c r="E98" s="576" t="s">
        <v>397</v>
      </c>
      <c r="F98" s="499" t="s">
        <v>472</v>
      </c>
      <c r="G98" s="571" t="s">
        <v>420</v>
      </c>
      <c r="H98" s="571" t="s">
        <v>427</v>
      </c>
      <c r="I98" s="571" t="str">
        <f>Table1[[#This Row],[Staff]]</f>
        <v>Nicole</v>
      </c>
      <c r="J98" s="570">
        <f>Table1[[#This Row],[Date]]</f>
        <v>41148</v>
      </c>
      <c r="K98" s="526"/>
      <c r="L98" s="526"/>
      <c r="AF98" s="499"/>
      <c r="AG98" s="499"/>
      <c r="AH98" s="499"/>
      <c r="AI98" s="499"/>
    </row>
    <row r="99" spans="1:35" s="574" customFormat="1" hidden="1">
      <c r="A99" s="569">
        <v>1</v>
      </c>
      <c r="B99" s="37">
        <v>97</v>
      </c>
      <c r="C99" s="570">
        <v>41148</v>
      </c>
      <c r="D99" s="576" t="s">
        <v>358</v>
      </c>
      <c r="E99" s="579" t="s">
        <v>402</v>
      </c>
      <c r="F99" s="499" t="s">
        <v>461</v>
      </c>
      <c r="G99" s="571" t="s">
        <v>420</v>
      </c>
      <c r="H99" s="571" t="s">
        <v>427</v>
      </c>
      <c r="I99" s="571" t="str">
        <f>Table1[[#This Row],[Staff]]</f>
        <v>Nicole</v>
      </c>
      <c r="J99" s="570">
        <f>Table1[[#This Row],[Date]]</f>
        <v>41148</v>
      </c>
      <c r="K99" s="526"/>
      <c r="L99" s="526"/>
      <c r="AF99" s="499"/>
      <c r="AG99" s="499"/>
      <c r="AH99" s="499"/>
      <c r="AI99" s="499"/>
    </row>
    <row r="100" spans="1:35" s="574" customFormat="1" hidden="1">
      <c r="A100" s="569">
        <v>1</v>
      </c>
      <c r="B100" s="37">
        <v>98</v>
      </c>
      <c r="C100" s="570">
        <v>41148</v>
      </c>
      <c r="D100" s="576" t="s">
        <v>358</v>
      </c>
      <c r="E100" s="579" t="s">
        <v>402</v>
      </c>
      <c r="F100" s="499" t="s">
        <v>462</v>
      </c>
      <c r="G100" s="571" t="s">
        <v>420</v>
      </c>
      <c r="H100" s="571" t="s">
        <v>427</v>
      </c>
      <c r="I100" s="571" t="str">
        <f>Table1[[#This Row],[Staff]]</f>
        <v>Nicole</v>
      </c>
      <c r="J100" s="570">
        <f>Table1[[#This Row],[Date]]</f>
        <v>41148</v>
      </c>
      <c r="K100" s="526"/>
      <c r="L100" s="526"/>
      <c r="AF100" s="499"/>
      <c r="AG100" s="499"/>
      <c r="AH100" s="499"/>
      <c r="AI100" s="499"/>
    </row>
    <row r="101" spans="1:35" s="574" customFormat="1" hidden="1">
      <c r="A101" s="569">
        <v>1</v>
      </c>
      <c r="B101" s="37">
        <v>99</v>
      </c>
      <c r="C101" s="570">
        <v>41148</v>
      </c>
      <c r="D101" s="579" t="s">
        <v>358</v>
      </c>
      <c r="E101" s="579" t="s">
        <v>402</v>
      </c>
      <c r="F101" s="499" t="s">
        <v>423</v>
      </c>
      <c r="G101" s="571" t="s">
        <v>420</v>
      </c>
      <c r="H101" s="571" t="s">
        <v>427</v>
      </c>
      <c r="I101" s="571" t="str">
        <f>Table1[[#This Row],[Staff]]</f>
        <v>Nicole</v>
      </c>
      <c r="J101" s="570">
        <f>Table1[[#This Row],[Date]]</f>
        <v>41148</v>
      </c>
      <c r="K101" s="526"/>
      <c r="L101" s="526"/>
      <c r="AF101" s="499"/>
      <c r="AG101" s="499"/>
      <c r="AH101" s="499"/>
      <c r="AI101" s="499"/>
    </row>
    <row r="102" spans="1:35" s="574" customFormat="1" hidden="1">
      <c r="A102" s="569">
        <v>1</v>
      </c>
      <c r="B102" s="37">
        <v>100</v>
      </c>
      <c r="C102" s="570">
        <v>41148</v>
      </c>
      <c r="D102" s="579" t="s">
        <v>358</v>
      </c>
      <c r="E102" s="579" t="s">
        <v>402</v>
      </c>
      <c r="F102" s="499" t="s">
        <v>463</v>
      </c>
      <c r="G102" s="571" t="s">
        <v>420</v>
      </c>
      <c r="H102" s="571" t="s">
        <v>427</v>
      </c>
      <c r="I102" s="571" t="str">
        <f>Table1[[#This Row],[Staff]]</f>
        <v>Nicole</v>
      </c>
      <c r="J102" s="570">
        <f>Table1[[#This Row],[Date]]</f>
        <v>41148</v>
      </c>
      <c r="K102" s="526"/>
      <c r="L102" s="526"/>
      <c r="AF102" s="499"/>
      <c r="AG102" s="499"/>
      <c r="AH102" s="499"/>
      <c r="AI102" s="499"/>
    </row>
    <row r="103" spans="1:35" s="574" customFormat="1" hidden="1">
      <c r="A103" s="569">
        <v>1</v>
      </c>
      <c r="B103" s="37">
        <v>101</v>
      </c>
      <c r="C103" s="570">
        <v>41148</v>
      </c>
      <c r="D103" s="579" t="s">
        <v>358</v>
      </c>
      <c r="E103" s="579" t="s">
        <v>402</v>
      </c>
      <c r="F103" s="499" t="s">
        <v>464</v>
      </c>
      <c r="G103" s="571" t="s">
        <v>420</v>
      </c>
      <c r="H103" s="571" t="s">
        <v>427</v>
      </c>
      <c r="I103" s="571" t="str">
        <f>Table1[[#This Row],[Staff]]</f>
        <v>Nicole</v>
      </c>
      <c r="J103" s="570">
        <f>Table1[[#This Row],[Date]]</f>
        <v>41148</v>
      </c>
      <c r="K103" s="526"/>
      <c r="L103" s="526"/>
      <c r="AF103" s="499"/>
      <c r="AG103" s="499"/>
      <c r="AH103" s="499"/>
      <c r="AI103" s="499"/>
    </row>
    <row r="104" spans="1:35" s="574" customFormat="1" hidden="1">
      <c r="A104" s="569">
        <v>1</v>
      </c>
      <c r="B104" s="37">
        <v>102</v>
      </c>
      <c r="C104" s="570">
        <v>41148</v>
      </c>
      <c r="D104" s="579" t="s">
        <v>358</v>
      </c>
      <c r="E104" s="579" t="s">
        <v>402</v>
      </c>
      <c r="F104" s="499" t="s">
        <v>465</v>
      </c>
      <c r="G104" s="571" t="s">
        <v>420</v>
      </c>
      <c r="H104" s="571" t="s">
        <v>427</v>
      </c>
      <c r="I104" s="571" t="str">
        <f>Table1[[#This Row],[Staff]]</f>
        <v>Nicole</v>
      </c>
      <c r="J104" s="570">
        <f>Table1[[#This Row],[Date]]</f>
        <v>41148</v>
      </c>
      <c r="K104" s="526"/>
      <c r="L104" s="526"/>
      <c r="AF104" s="499"/>
      <c r="AG104" s="499"/>
      <c r="AH104" s="499"/>
      <c r="AI104" s="499"/>
    </row>
    <row r="105" spans="1:35" s="574" customFormat="1" hidden="1">
      <c r="A105" s="569">
        <v>1</v>
      </c>
      <c r="B105" s="37">
        <v>103</v>
      </c>
      <c r="C105" s="570">
        <v>41148</v>
      </c>
      <c r="D105" s="579" t="s">
        <v>358</v>
      </c>
      <c r="E105" s="579" t="s">
        <v>405</v>
      </c>
      <c r="F105" s="499" t="s">
        <v>461</v>
      </c>
      <c r="G105" s="571" t="s">
        <v>420</v>
      </c>
      <c r="H105" s="571" t="s">
        <v>427</v>
      </c>
      <c r="I105" s="571" t="str">
        <f>Table1[[#This Row],[Staff]]</f>
        <v>Nicole</v>
      </c>
      <c r="J105" s="570">
        <f>Table1[[#This Row],[Date]]</f>
        <v>41148</v>
      </c>
      <c r="K105" s="526"/>
      <c r="L105" s="526"/>
      <c r="AF105" s="499"/>
      <c r="AG105" s="499"/>
      <c r="AH105" s="499"/>
      <c r="AI105" s="499"/>
    </row>
    <row r="106" spans="1:35" s="574" customFormat="1" hidden="1">
      <c r="A106" s="569">
        <v>1</v>
      </c>
      <c r="B106" s="37">
        <v>104</v>
      </c>
      <c r="C106" s="570">
        <v>41148</v>
      </c>
      <c r="D106" s="579" t="s">
        <v>358</v>
      </c>
      <c r="E106" s="579" t="s">
        <v>405</v>
      </c>
      <c r="F106" s="499" t="s">
        <v>462</v>
      </c>
      <c r="G106" s="571" t="s">
        <v>420</v>
      </c>
      <c r="H106" s="571" t="s">
        <v>427</v>
      </c>
      <c r="I106" s="571" t="str">
        <f>Table1[[#This Row],[Staff]]</f>
        <v>Nicole</v>
      </c>
      <c r="J106" s="570">
        <f>Table1[[#This Row],[Date]]</f>
        <v>41148</v>
      </c>
      <c r="K106" s="526"/>
      <c r="L106" s="526"/>
      <c r="AF106" s="499"/>
      <c r="AG106" s="499"/>
      <c r="AH106" s="499"/>
      <c r="AI106" s="499"/>
    </row>
    <row r="107" spans="1:35" s="574" customFormat="1" hidden="1">
      <c r="A107" s="569">
        <v>1</v>
      </c>
      <c r="B107" s="37">
        <v>105</v>
      </c>
      <c r="C107" s="570">
        <v>41148</v>
      </c>
      <c r="D107" s="579" t="s">
        <v>358</v>
      </c>
      <c r="E107" s="579" t="s">
        <v>77</v>
      </c>
      <c r="F107" s="499" t="s">
        <v>470</v>
      </c>
      <c r="G107" s="571" t="s">
        <v>420</v>
      </c>
      <c r="H107" s="571" t="s">
        <v>427</v>
      </c>
      <c r="I107" s="571" t="str">
        <f>Table1[[#This Row],[Staff]]</f>
        <v>Nicole</v>
      </c>
      <c r="J107" s="570">
        <f>Table1[[#This Row],[Date]]</f>
        <v>41148</v>
      </c>
      <c r="K107" s="526"/>
      <c r="L107" s="526"/>
      <c r="AF107" s="499"/>
      <c r="AG107" s="499"/>
      <c r="AH107" s="499"/>
      <c r="AI107" s="499"/>
    </row>
    <row r="108" spans="1:35" s="574" customFormat="1" hidden="1">
      <c r="A108" s="569">
        <v>1</v>
      </c>
      <c r="B108" s="37">
        <v>106</v>
      </c>
      <c r="C108" s="570">
        <v>41148</v>
      </c>
      <c r="D108" s="579" t="s">
        <v>358</v>
      </c>
      <c r="E108" s="579" t="s">
        <v>77</v>
      </c>
      <c r="F108" s="499" t="s">
        <v>473</v>
      </c>
      <c r="G108" s="571" t="s">
        <v>420</v>
      </c>
      <c r="H108" s="571" t="s">
        <v>427</v>
      </c>
      <c r="I108" s="571" t="str">
        <f>Table1[[#This Row],[Staff]]</f>
        <v>Nicole</v>
      </c>
      <c r="J108" s="570">
        <f>Table1[[#This Row],[Date]]</f>
        <v>41148</v>
      </c>
      <c r="K108" s="526"/>
      <c r="L108" s="526"/>
      <c r="AF108" s="499"/>
      <c r="AG108" s="499"/>
      <c r="AH108" s="499"/>
      <c r="AI108" s="499"/>
    </row>
    <row r="109" spans="1:35" s="574" customFormat="1" hidden="1">
      <c r="A109" s="569">
        <v>1</v>
      </c>
      <c r="B109" s="37">
        <v>107</v>
      </c>
      <c r="C109" s="570">
        <v>41148</v>
      </c>
      <c r="D109" s="579" t="s">
        <v>358</v>
      </c>
      <c r="E109" s="579" t="s">
        <v>77</v>
      </c>
      <c r="F109" s="499" t="s">
        <v>474</v>
      </c>
      <c r="G109" s="571" t="s">
        <v>420</v>
      </c>
      <c r="H109" s="571" t="s">
        <v>427</v>
      </c>
      <c r="I109" s="571" t="str">
        <f>Table1[[#This Row],[Staff]]</f>
        <v>Nicole</v>
      </c>
      <c r="J109" s="570">
        <f>Table1[[#This Row],[Date]]</f>
        <v>41148</v>
      </c>
      <c r="K109" s="526"/>
      <c r="L109" s="526"/>
      <c r="AF109" s="499"/>
      <c r="AG109" s="499"/>
      <c r="AH109" s="499"/>
      <c r="AI109" s="499"/>
    </row>
    <row r="110" spans="1:35" s="574" customFormat="1" hidden="1">
      <c r="A110" s="569">
        <v>1</v>
      </c>
      <c r="B110" s="37">
        <v>108</v>
      </c>
      <c r="C110" s="570">
        <v>41148</v>
      </c>
      <c r="D110" s="579" t="s">
        <v>358</v>
      </c>
      <c r="E110" s="579" t="s">
        <v>77</v>
      </c>
      <c r="F110" s="499" t="s">
        <v>475</v>
      </c>
      <c r="G110" s="571" t="s">
        <v>420</v>
      </c>
      <c r="H110" s="571" t="s">
        <v>427</v>
      </c>
      <c r="I110" s="571" t="str">
        <f>Table1[[#This Row],[Staff]]</f>
        <v>Nicole</v>
      </c>
      <c r="J110" s="570">
        <f>Table1[[#This Row],[Date]]</f>
        <v>41148</v>
      </c>
      <c r="K110" s="526"/>
      <c r="L110" s="526"/>
      <c r="AF110" s="499"/>
      <c r="AG110" s="499"/>
      <c r="AH110" s="499"/>
      <c r="AI110" s="499"/>
    </row>
    <row r="111" spans="1:35" hidden="1">
      <c r="A111" s="569">
        <v>1</v>
      </c>
      <c r="B111" s="37">
        <v>109</v>
      </c>
      <c r="C111" s="570">
        <v>41148</v>
      </c>
      <c r="D111" s="579" t="s">
        <v>358</v>
      </c>
      <c r="E111" s="579" t="s">
        <v>77</v>
      </c>
      <c r="F111" s="499" t="s">
        <v>476</v>
      </c>
      <c r="G111" s="571" t="s">
        <v>420</v>
      </c>
      <c r="H111" s="571" t="s">
        <v>427</v>
      </c>
      <c r="I111" s="571" t="str">
        <f>Table1[[#This Row],[Staff]]</f>
        <v>Nicole</v>
      </c>
      <c r="J111" s="570">
        <f>Table1[[#This Row],[Date]]</f>
        <v>41148</v>
      </c>
      <c r="K111" s="526"/>
      <c r="L111" s="526"/>
    </row>
    <row r="112" spans="1:35" hidden="1">
      <c r="A112" s="569">
        <v>1</v>
      </c>
      <c r="B112" s="37">
        <v>110</v>
      </c>
      <c r="C112" s="570">
        <v>41148</v>
      </c>
      <c r="D112" s="579" t="s">
        <v>358</v>
      </c>
      <c r="E112" s="579" t="s">
        <v>77</v>
      </c>
      <c r="F112" s="499" t="s">
        <v>477</v>
      </c>
      <c r="G112" s="571" t="s">
        <v>420</v>
      </c>
      <c r="H112" s="571" t="s">
        <v>427</v>
      </c>
      <c r="I112" s="571" t="str">
        <f>Table1[[#This Row],[Staff]]</f>
        <v>Nicole</v>
      </c>
      <c r="J112" s="570">
        <f>Table1[[#This Row],[Date]]</f>
        <v>41148</v>
      </c>
      <c r="K112" s="526"/>
      <c r="L112" s="526"/>
    </row>
    <row r="113" spans="1:35" s="574" customFormat="1" hidden="1">
      <c r="A113" s="569">
        <v>1</v>
      </c>
      <c r="B113" s="37">
        <v>111</v>
      </c>
      <c r="C113" s="570">
        <v>41148</v>
      </c>
      <c r="D113" s="579" t="s">
        <v>358</v>
      </c>
      <c r="E113" s="579" t="s">
        <v>86</v>
      </c>
      <c r="F113" s="499" t="s">
        <v>461</v>
      </c>
      <c r="G113" s="571" t="s">
        <v>420</v>
      </c>
      <c r="H113" s="571" t="s">
        <v>427</v>
      </c>
      <c r="I113" s="571" t="str">
        <f>Table1[[#This Row],[Staff]]</f>
        <v>Nicole</v>
      </c>
      <c r="J113" s="570">
        <f>Table1[[#This Row],[Date]]</f>
        <v>41148</v>
      </c>
      <c r="K113" s="526"/>
      <c r="L113" s="526"/>
      <c r="AF113" s="499"/>
      <c r="AG113" s="499"/>
      <c r="AH113" s="499"/>
      <c r="AI113" s="499"/>
    </row>
    <row r="114" spans="1:35" s="574" customFormat="1" hidden="1">
      <c r="A114" s="569">
        <v>1</v>
      </c>
      <c r="B114" s="37">
        <v>112</v>
      </c>
      <c r="C114" s="570">
        <v>41148</v>
      </c>
      <c r="D114" s="579" t="s">
        <v>358</v>
      </c>
      <c r="E114" s="579" t="s">
        <v>86</v>
      </c>
      <c r="F114" s="499" t="s">
        <v>462</v>
      </c>
      <c r="G114" s="571" t="s">
        <v>420</v>
      </c>
      <c r="H114" s="571" t="s">
        <v>427</v>
      </c>
      <c r="I114" s="571" t="str">
        <f>Table1[[#This Row],[Staff]]</f>
        <v>Nicole</v>
      </c>
      <c r="J114" s="570">
        <f>Table1[[#This Row],[Date]]</f>
        <v>41148</v>
      </c>
      <c r="K114" s="526"/>
      <c r="L114" s="526"/>
      <c r="AF114" s="499"/>
      <c r="AG114" s="499"/>
      <c r="AH114" s="499"/>
      <c r="AI114" s="499"/>
    </row>
    <row r="115" spans="1:35" s="574" customFormat="1" hidden="1">
      <c r="A115" s="569">
        <v>1</v>
      </c>
      <c r="B115" s="37">
        <v>113</v>
      </c>
      <c r="C115" s="570">
        <v>41148</v>
      </c>
      <c r="D115" s="579" t="s">
        <v>358</v>
      </c>
      <c r="E115" s="579" t="s">
        <v>86</v>
      </c>
      <c r="F115" s="499" t="s">
        <v>423</v>
      </c>
      <c r="G115" s="571" t="s">
        <v>420</v>
      </c>
      <c r="H115" s="571" t="s">
        <v>427</v>
      </c>
      <c r="I115" s="571" t="str">
        <f>Table1[[#This Row],[Staff]]</f>
        <v>Nicole</v>
      </c>
      <c r="J115" s="570">
        <f>Table1[[#This Row],[Date]]</f>
        <v>41148</v>
      </c>
      <c r="K115" s="526"/>
      <c r="L115" s="526"/>
      <c r="AF115" s="499"/>
      <c r="AG115" s="499"/>
      <c r="AH115" s="499"/>
      <c r="AI115" s="499"/>
    </row>
    <row r="116" spans="1:35" s="574" customFormat="1" hidden="1">
      <c r="A116" s="569">
        <v>1</v>
      </c>
      <c r="B116" s="37">
        <v>114</v>
      </c>
      <c r="C116" s="570">
        <v>41148</v>
      </c>
      <c r="D116" s="579" t="s">
        <v>358</v>
      </c>
      <c r="E116" s="579" t="s">
        <v>86</v>
      </c>
      <c r="F116" s="499" t="s">
        <v>463</v>
      </c>
      <c r="G116" s="571" t="s">
        <v>420</v>
      </c>
      <c r="H116" s="571" t="s">
        <v>427</v>
      </c>
      <c r="I116" s="571" t="str">
        <f>Table1[[#This Row],[Staff]]</f>
        <v>Nicole</v>
      </c>
      <c r="J116" s="570">
        <f>Table1[[#This Row],[Date]]</f>
        <v>41148</v>
      </c>
      <c r="K116" s="526"/>
      <c r="L116" s="526"/>
      <c r="AF116" s="499"/>
      <c r="AG116" s="499"/>
      <c r="AH116" s="499"/>
      <c r="AI116" s="499"/>
    </row>
    <row r="117" spans="1:35" s="574" customFormat="1" hidden="1">
      <c r="A117" s="569">
        <v>1</v>
      </c>
      <c r="B117" s="37">
        <v>115</v>
      </c>
      <c r="C117" s="570">
        <v>41148</v>
      </c>
      <c r="D117" s="579" t="s">
        <v>358</v>
      </c>
      <c r="E117" s="579" t="s">
        <v>86</v>
      </c>
      <c r="F117" s="499" t="s">
        <v>464</v>
      </c>
      <c r="G117" s="571" t="s">
        <v>420</v>
      </c>
      <c r="H117" s="571" t="s">
        <v>427</v>
      </c>
      <c r="I117" s="571" t="str">
        <f>Table1[[#This Row],[Staff]]</f>
        <v>Nicole</v>
      </c>
      <c r="J117" s="570">
        <f>Table1[[#This Row],[Date]]</f>
        <v>41148</v>
      </c>
      <c r="K117" s="526"/>
      <c r="L117" s="526"/>
      <c r="AF117" s="499"/>
      <c r="AG117" s="499"/>
      <c r="AH117" s="499"/>
      <c r="AI117" s="499"/>
    </row>
    <row r="118" spans="1:35" s="574" customFormat="1" hidden="1">
      <c r="A118" s="569">
        <v>1</v>
      </c>
      <c r="B118" s="37">
        <v>116</v>
      </c>
      <c r="C118" s="570">
        <v>41148</v>
      </c>
      <c r="D118" s="579" t="s">
        <v>358</v>
      </c>
      <c r="E118" s="579" t="s">
        <v>86</v>
      </c>
      <c r="F118" s="499" t="s">
        <v>465</v>
      </c>
      <c r="G118" s="571" t="s">
        <v>420</v>
      </c>
      <c r="H118" s="571" t="s">
        <v>427</v>
      </c>
      <c r="I118" s="571" t="str">
        <f>Table1[[#This Row],[Staff]]</f>
        <v>Nicole</v>
      </c>
      <c r="J118" s="570">
        <f>Table1[[#This Row],[Date]]</f>
        <v>41148</v>
      </c>
      <c r="K118" s="526"/>
      <c r="L118" s="526"/>
      <c r="AF118" s="499"/>
      <c r="AG118" s="499"/>
      <c r="AH118" s="499"/>
      <c r="AI118" s="499"/>
    </row>
    <row r="119" spans="1:35" s="574" customFormat="1" hidden="1">
      <c r="A119" s="569">
        <v>1</v>
      </c>
      <c r="B119" s="37">
        <v>117</v>
      </c>
      <c r="C119" s="570">
        <v>41148</v>
      </c>
      <c r="D119" s="579" t="s">
        <v>358</v>
      </c>
      <c r="E119" s="579" t="s">
        <v>86</v>
      </c>
      <c r="F119" s="499" t="s">
        <v>471</v>
      </c>
      <c r="G119" s="571" t="s">
        <v>420</v>
      </c>
      <c r="H119" s="571" t="s">
        <v>427</v>
      </c>
      <c r="I119" s="571" t="str">
        <f>Table1[[#This Row],[Staff]]</f>
        <v>Nicole</v>
      </c>
      <c r="J119" s="570">
        <f>Table1[[#This Row],[Date]]</f>
        <v>41148</v>
      </c>
      <c r="K119" s="526"/>
      <c r="L119" s="526"/>
      <c r="AF119" s="499"/>
      <c r="AG119" s="499"/>
      <c r="AH119" s="499"/>
      <c r="AI119" s="499"/>
    </row>
    <row r="120" spans="1:35" s="574" customFormat="1" hidden="1">
      <c r="A120" s="569">
        <v>1</v>
      </c>
      <c r="B120" s="37">
        <v>118</v>
      </c>
      <c r="C120" s="570">
        <v>41148</v>
      </c>
      <c r="D120" s="579" t="s">
        <v>358</v>
      </c>
      <c r="E120" s="579" t="s">
        <v>86</v>
      </c>
      <c r="F120" s="499" t="s">
        <v>472</v>
      </c>
      <c r="G120" s="571" t="s">
        <v>420</v>
      </c>
      <c r="H120" s="571" t="s">
        <v>427</v>
      </c>
      <c r="I120" s="571" t="str">
        <f>Table1[[#This Row],[Staff]]</f>
        <v>Nicole</v>
      </c>
      <c r="J120" s="570">
        <f>Table1[[#This Row],[Date]]</f>
        <v>41148</v>
      </c>
      <c r="K120" s="526"/>
      <c r="L120" s="526"/>
      <c r="AF120" s="499"/>
      <c r="AG120" s="499"/>
      <c r="AH120" s="499"/>
      <c r="AI120" s="499"/>
    </row>
    <row r="121" spans="1:35" s="574" customFormat="1" hidden="1">
      <c r="A121" s="569">
        <v>1</v>
      </c>
      <c r="B121" s="37">
        <v>119</v>
      </c>
      <c r="C121" s="570">
        <v>41148</v>
      </c>
      <c r="D121" s="579" t="s">
        <v>358</v>
      </c>
      <c r="E121" s="579" t="s">
        <v>86</v>
      </c>
      <c r="F121" s="499" t="s">
        <v>478</v>
      </c>
      <c r="G121" s="571" t="s">
        <v>420</v>
      </c>
      <c r="H121" s="571" t="s">
        <v>427</v>
      </c>
      <c r="I121" s="571" t="str">
        <f>Table1[[#This Row],[Staff]]</f>
        <v>Nicole</v>
      </c>
      <c r="J121" s="570">
        <f>Table1[[#This Row],[Date]]</f>
        <v>41148</v>
      </c>
      <c r="K121" s="526"/>
      <c r="L121" s="526"/>
      <c r="AF121" s="499"/>
      <c r="AG121" s="499"/>
      <c r="AH121" s="499"/>
      <c r="AI121" s="499"/>
    </row>
    <row r="122" spans="1:35" s="574" customFormat="1" hidden="1">
      <c r="A122" s="569">
        <v>1</v>
      </c>
      <c r="B122" s="37">
        <v>120</v>
      </c>
      <c r="C122" s="570">
        <v>41148</v>
      </c>
      <c r="D122" s="579" t="s">
        <v>358</v>
      </c>
      <c r="E122" s="579" t="s">
        <v>86</v>
      </c>
      <c r="F122" s="499" t="s">
        <v>479</v>
      </c>
      <c r="G122" s="571" t="s">
        <v>420</v>
      </c>
      <c r="H122" s="571" t="s">
        <v>427</v>
      </c>
      <c r="I122" s="571" t="str">
        <f>Table1[[#This Row],[Staff]]</f>
        <v>Nicole</v>
      </c>
      <c r="J122" s="570">
        <f>Table1[[#This Row],[Date]]</f>
        <v>41148</v>
      </c>
      <c r="K122" s="526"/>
      <c r="L122" s="526"/>
      <c r="AF122" s="499"/>
      <c r="AG122" s="499"/>
      <c r="AH122" s="499"/>
      <c r="AI122" s="499"/>
    </row>
    <row r="123" spans="1:35" s="574" customFormat="1" hidden="1">
      <c r="A123" s="569">
        <v>1</v>
      </c>
      <c r="B123" s="37">
        <v>121</v>
      </c>
      <c r="C123" s="570">
        <v>41148</v>
      </c>
      <c r="D123" s="579" t="s">
        <v>358</v>
      </c>
      <c r="E123" s="579" t="s">
        <v>86</v>
      </c>
      <c r="F123" s="499" t="s">
        <v>480</v>
      </c>
      <c r="G123" s="571" t="s">
        <v>420</v>
      </c>
      <c r="H123" s="571" t="s">
        <v>427</v>
      </c>
      <c r="I123" s="571" t="str">
        <f>Table1[[#This Row],[Staff]]</f>
        <v>Nicole</v>
      </c>
      <c r="J123" s="570">
        <f>Table1[[#This Row],[Date]]</f>
        <v>41148</v>
      </c>
      <c r="K123" s="526"/>
      <c r="L123" s="526"/>
      <c r="AF123" s="499"/>
      <c r="AG123" s="499"/>
      <c r="AH123" s="499"/>
      <c r="AI123" s="499"/>
    </row>
    <row r="124" spans="1:35" s="574" customFormat="1" hidden="1">
      <c r="A124" s="569">
        <v>1</v>
      </c>
      <c r="B124" s="37">
        <v>122</v>
      </c>
      <c r="C124" s="570">
        <v>41148</v>
      </c>
      <c r="D124" s="579" t="s">
        <v>358</v>
      </c>
      <c r="E124" s="579" t="s">
        <v>86</v>
      </c>
      <c r="F124" s="499" t="s">
        <v>481</v>
      </c>
      <c r="G124" s="571" t="s">
        <v>420</v>
      </c>
      <c r="H124" s="571" t="s">
        <v>427</v>
      </c>
      <c r="I124" s="571" t="str">
        <f>Table1[[#This Row],[Staff]]</f>
        <v>Nicole</v>
      </c>
      <c r="J124" s="570">
        <f>Table1[[#This Row],[Date]]</f>
        <v>41148</v>
      </c>
      <c r="K124" s="526"/>
      <c r="L124" s="526"/>
      <c r="AF124" s="499"/>
      <c r="AG124" s="499"/>
      <c r="AH124" s="499"/>
      <c r="AI124" s="499"/>
    </row>
    <row r="125" spans="1:35" s="574" customFormat="1" hidden="1">
      <c r="A125" s="569">
        <v>1</v>
      </c>
      <c r="B125" s="37">
        <v>123</v>
      </c>
      <c r="C125" s="570">
        <v>41148</v>
      </c>
      <c r="D125" s="579" t="s">
        <v>358</v>
      </c>
      <c r="E125" s="579" t="s">
        <v>409</v>
      </c>
      <c r="F125" s="499" t="s">
        <v>482</v>
      </c>
      <c r="G125" s="571" t="s">
        <v>420</v>
      </c>
      <c r="H125" s="571" t="s">
        <v>427</v>
      </c>
      <c r="I125" s="571" t="str">
        <f>Table1[[#This Row],[Staff]]</f>
        <v>Nicole</v>
      </c>
      <c r="J125" s="570">
        <f>Table1[[#This Row],[Date]]</f>
        <v>41148</v>
      </c>
      <c r="K125" s="526"/>
      <c r="L125" s="526"/>
      <c r="AF125" s="499"/>
      <c r="AG125" s="499"/>
      <c r="AH125" s="499"/>
      <c r="AI125" s="499"/>
    </row>
    <row r="126" spans="1:35" s="574" customFormat="1" hidden="1">
      <c r="A126" s="569">
        <v>1</v>
      </c>
      <c r="B126" s="37">
        <v>124</v>
      </c>
      <c r="C126" s="570">
        <v>41148</v>
      </c>
      <c r="D126" s="579" t="s">
        <v>358</v>
      </c>
      <c r="E126" s="579" t="s">
        <v>409</v>
      </c>
      <c r="F126" s="499" t="s">
        <v>483</v>
      </c>
      <c r="G126" s="571" t="s">
        <v>420</v>
      </c>
      <c r="H126" s="571" t="s">
        <v>427</v>
      </c>
      <c r="I126" s="571" t="str">
        <f>Table1[[#This Row],[Staff]]</f>
        <v>Nicole</v>
      </c>
      <c r="J126" s="570">
        <f>Table1[[#This Row],[Date]]</f>
        <v>41148</v>
      </c>
      <c r="K126" s="526"/>
      <c r="L126" s="526"/>
      <c r="AF126" s="499"/>
      <c r="AG126" s="499"/>
      <c r="AH126" s="499"/>
      <c r="AI126" s="499"/>
    </row>
    <row r="127" spans="1:35" s="574" customFormat="1" hidden="1">
      <c r="A127" s="569">
        <v>1</v>
      </c>
      <c r="B127" s="37">
        <v>125</v>
      </c>
      <c r="C127" s="570">
        <v>41148</v>
      </c>
      <c r="D127" s="579" t="s">
        <v>358</v>
      </c>
      <c r="E127" s="579" t="s">
        <v>409</v>
      </c>
      <c r="F127" s="499" t="s">
        <v>484</v>
      </c>
      <c r="G127" s="571" t="s">
        <v>420</v>
      </c>
      <c r="H127" s="571" t="s">
        <v>427</v>
      </c>
      <c r="I127" s="571" t="str">
        <f>Table1[[#This Row],[Staff]]</f>
        <v>Nicole</v>
      </c>
      <c r="J127" s="570">
        <f>Table1[[#This Row],[Date]]</f>
        <v>41148</v>
      </c>
      <c r="K127" s="526"/>
      <c r="L127" s="526"/>
      <c r="AF127" s="499"/>
      <c r="AG127" s="499"/>
      <c r="AH127" s="499"/>
      <c r="AI127" s="499"/>
    </row>
    <row r="128" spans="1:35" s="574" customFormat="1" hidden="1">
      <c r="A128" s="569">
        <v>1</v>
      </c>
      <c r="B128" s="37">
        <v>126</v>
      </c>
      <c r="C128" s="570">
        <v>41148</v>
      </c>
      <c r="D128" s="579" t="s">
        <v>358</v>
      </c>
      <c r="E128" s="579" t="s">
        <v>409</v>
      </c>
      <c r="F128" s="499" t="s">
        <v>485</v>
      </c>
      <c r="G128" s="571" t="s">
        <v>420</v>
      </c>
      <c r="H128" s="571" t="s">
        <v>427</v>
      </c>
      <c r="I128" s="571" t="str">
        <f>Table1[[#This Row],[Staff]]</f>
        <v>Nicole</v>
      </c>
      <c r="J128" s="570">
        <f>Table1[[#This Row],[Date]]</f>
        <v>41148</v>
      </c>
      <c r="K128" s="526"/>
      <c r="L128" s="526"/>
      <c r="AF128" s="499"/>
      <c r="AG128" s="499"/>
      <c r="AH128" s="499"/>
      <c r="AI128" s="499"/>
    </row>
    <row r="129" spans="1:35" s="574" customFormat="1" hidden="1">
      <c r="A129" s="569">
        <v>1</v>
      </c>
      <c r="B129" s="37">
        <v>127</v>
      </c>
      <c r="C129" s="570">
        <v>41148</v>
      </c>
      <c r="D129" s="579" t="s">
        <v>358</v>
      </c>
      <c r="E129" s="579" t="s">
        <v>409</v>
      </c>
      <c r="F129" s="499" t="s">
        <v>486</v>
      </c>
      <c r="G129" s="571" t="s">
        <v>420</v>
      </c>
      <c r="H129" s="571" t="s">
        <v>427</v>
      </c>
      <c r="I129" s="571" t="str">
        <f>Table1[[#This Row],[Staff]]</f>
        <v>Nicole</v>
      </c>
      <c r="J129" s="570">
        <f>Table1[[#This Row],[Date]]</f>
        <v>41148</v>
      </c>
      <c r="K129" s="526"/>
      <c r="L129" s="526"/>
      <c r="AF129" s="499"/>
      <c r="AG129" s="499"/>
      <c r="AH129" s="499"/>
      <c r="AI129" s="499"/>
    </row>
    <row r="130" spans="1:35" s="574" customFormat="1" hidden="1">
      <c r="A130" s="569">
        <v>1</v>
      </c>
      <c r="B130" s="37">
        <v>128</v>
      </c>
      <c r="C130" s="570">
        <v>41148</v>
      </c>
      <c r="D130" s="579" t="s">
        <v>358</v>
      </c>
      <c r="E130" s="579" t="s">
        <v>409</v>
      </c>
      <c r="F130" s="499" t="s">
        <v>487</v>
      </c>
      <c r="G130" s="571" t="s">
        <v>420</v>
      </c>
      <c r="H130" s="571" t="s">
        <v>427</v>
      </c>
      <c r="I130" s="571" t="str">
        <f>Table1[[#This Row],[Staff]]</f>
        <v>Nicole</v>
      </c>
      <c r="J130" s="570">
        <f>Table1[[#This Row],[Date]]</f>
        <v>41148</v>
      </c>
      <c r="K130" s="526"/>
      <c r="L130" s="526"/>
      <c r="AF130" s="499"/>
      <c r="AG130" s="499"/>
      <c r="AH130" s="499"/>
      <c r="AI130" s="499"/>
    </row>
    <row r="131" spans="1:35" s="574" customFormat="1" hidden="1">
      <c r="A131" s="569">
        <v>1</v>
      </c>
      <c r="B131" s="37">
        <v>129</v>
      </c>
      <c r="C131" s="570">
        <v>41148</v>
      </c>
      <c r="D131" s="579" t="s">
        <v>358</v>
      </c>
      <c r="E131" s="579" t="s">
        <v>409</v>
      </c>
      <c r="F131" s="499" t="s">
        <v>488</v>
      </c>
      <c r="G131" s="571" t="s">
        <v>420</v>
      </c>
      <c r="H131" s="571" t="s">
        <v>427</v>
      </c>
      <c r="I131" s="571" t="str">
        <f>Table1[[#This Row],[Staff]]</f>
        <v>Nicole</v>
      </c>
      <c r="J131" s="570">
        <f>Table1[[#This Row],[Date]]</f>
        <v>41148</v>
      </c>
      <c r="K131" s="526"/>
      <c r="L131" s="526"/>
      <c r="AF131" s="499"/>
      <c r="AG131" s="499"/>
      <c r="AH131" s="499"/>
      <c r="AI131" s="499"/>
    </row>
    <row r="132" spans="1:35" s="574" customFormat="1" hidden="1">
      <c r="A132" s="569">
        <v>1</v>
      </c>
      <c r="B132" s="37">
        <v>130</v>
      </c>
      <c r="C132" s="570">
        <v>41148</v>
      </c>
      <c r="D132" s="579" t="s">
        <v>358</v>
      </c>
      <c r="E132" s="579" t="s">
        <v>409</v>
      </c>
      <c r="F132" s="499" t="s">
        <v>489</v>
      </c>
      <c r="G132" s="571" t="s">
        <v>420</v>
      </c>
      <c r="H132" s="571" t="s">
        <v>427</v>
      </c>
      <c r="I132" s="571" t="str">
        <f>Table1[[#This Row],[Staff]]</f>
        <v>Nicole</v>
      </c>
      <c r="J132" s="570">
        <f>Table1[[#This Row],[Date]]</f>
        <v>41148</v>
      </c>
      <c r="K132" s="526"/>
      <c r="L132" s="526"/>
      <c r="AF132" s="499"/>
      <c r="AG132" s="499"/>
      <c r="AH132" s="499"/>
      <c r="AI132" s="499"/>
    </row>
    <row r="133" spans="1:35" s="574" customFormat="1" hidden="1">
      <c r="A133" s="569">
        <v>1</v>
      </c>
      <c r="B133" s="37">
        <v>131</v>
      </c>
      <c r="C133" s="570">
        <v>41148</v>
      </c>
      <c r="D133" s="579" t="s">
        <v>358</v>
      </c>
      <c r="E133" s="579" t="s">
        <v>409</v>
      </c>
      <c r="F133" s="499" t="s">
        <v>490</v>
      </c>
      <c r="G133" s="571" t="s">
        <v>491</v>
      </c>
      <c r="H133" s="571" t="s">
        <v>492</v>
      </c>
      <c r="I133" s="571" t="str">
        <f>Table1[[#This Row],[Staff]]</f>
        <v>Nicole</v>
      </c>
      <c r="J133" s="570">
        <f>Table1[[#This Row],[Date]]</f>
        <v>41148</v>
      </c>
      <c r="K133" s="526"/>
      <c r="L133" s="526"/>
      <c r="AF133" s="499"/>
      <c r="AG133" s="499"/>
      <c r="AH133" s="499"/>
      <c r="AI133" s="499"/>
    </row>
    <row r="134" spans="1:35" s="574" customFormat="1" ht="28.5" hidden="1">
      <c r="A134" s="569">
        <v>1</v>
      </c>
      <c r="B134" s="37">
        <v>132</v>
      </c>
      <c r="C134" s="570">
        <v>41148</v>
      </c>
      <c r="D134" s="579" t="s">
        <v>358</v>
      </c>
      <c r="E134" s="579" t="s">
        <v>86</v>
      </c>
      <c r="F134" s="499" t="s">
        <v>493</v>
      </c>
      <c r="G134" s="571" t="s">
        <v>495</v>
      </c>
      <c r="H134" s="571" t="s">
        <v>494</v>
      </c>
      <c r="I134" s="571" t="str">
        <f>Table1[[#This Row],[Staff]]</f>
        <v>Nicole</v>
      </c>
      <c r="J134" s="570">
        <f>Table1[[#This Row],[Date]]</f>
        <v>41148</v>
      </c>
      <c r="K134" s="526"/>
      <c r="L134" s="526"/>
      <c r="AF134" s="499"/>
      <c r="AG134" s="499"/>
      <c r="AH134" s="499"/>
      <c r="AI134" s="499"/>
    </row>
    <row r="135" spans="1:35" s="574" customFormat="1" ht="28.5" hidden="1">
      <c r="A135" s="569">
        <v>1</v>
      </c>
      <c r="B135" s="37">
        <v>133</v>
      </c>
      <c r="C135" s="570">
        <v>41148</v>
      </c>
      <c r="D135" s="579" t="s">
        <v>358</v>
      </c>
      <c r="E135" s="579" t="s">
        <v>86</v>
      </c>
      <c r="F135" s="499" t="s">
        <v>496</v>
      </c>
      <c r="G135" s="571" t="s">
        <v>497</v>
      </c>
      <c r="H135" s="571" t="s">
        <v>498</v>
      </c>
      <c r="I135" s="571" t="str">
        <f>Table1[[#This Row],[Staff]]</f>
        <v>Nicole</v>
      </c>
      <c r="J135" s="570">
        <f>Table1[[#This Row],[Date]]</f>
        <v>41148</v>
      </c>
      <c r="K135" s="526"/>
      <c r="L135" s="526"/>
      <c r="AF135" s="499"/>
      <c r="AG135" s="499"/>
      <c r="AH135" s="499"/>
      <c r="AI135" s="499"/>
    </row>
    <row r="136" spans="1:35" s="574" customFormat="1" hidden="1">
      <c r="A136" s="569">
        <v>1</v>
      </c>
      <c r="B136" s="37">
        <v>134</v>
      </c>
      <c r="C136" s="570">
        <v>41148</v>
      </c>
      <c r="D136" s="579" t="s">
        <v>358</v>
      </c>
      <c r="E136" s="579" t="s">
        <v>86</v>
      </c>
      <c r="F136" s="499" t="s">
        <v>499</v>
      </c>
      <c r="G136" s="571" t="s">
        <v>491</v>
      </c>
      <c r="H136" s="571" t="s">
        <v>500</v>
      </c>
      <c r="I136" s="571" t="str">
        <f>Table1[[#This Row],[Staff]]</f>
        <v>Nicole</v>
      </c>
      <c r="J136" s="570">
        <f>Table1[[#This Row],[Date]]</f>
        <v>41148</v>
      </c>
      <c r="K136" s="526"/>
      <c r="L136" s="526"/>
      <c r="AF136" s="499"/>
      <c r="AG136" s="499"/>
      <c r="AH136" s="499"/>
      <c r="AI136" s="499"/>
    </row>
    <row r="137" spans="1:35" s="574" customFormat="1" ht="28.5" hidden="1">
      <c r="A137" s="569">
        <v>1</v>
      </c>
      <c r="B137" s="37">
        <v>135</v>
      </c>
      <c r="C137" s="570">
        <v>41148</v>
      </c>
      <c r="D137" s="579" t="s">
        <v>358</v>
      </c>
      <c r="E137" s="579" t="s">
        <v>86</v>
      </c>
      <c r="F137" s="499" t="s">
        <v>502</v>
      </c>
      <c r="G137" s="571" t="s">
        <v>503</v>
      </c>
      <c r="H137" s="571" t="s">
        <v>504</v>
      </c>
      <c r="I137" s="571" t="str">
        <f>Table1[[#This Row],[Staff]]</f>
        <v>Nicole</v>
      </c>
      <c r="J137" s="570">
        <f>Table1[[#This Row],[Date]]</f>
        <v>41148</v>
      </c>
      <c r="K137" s="526"/>
      <c r="L137" s="526"/>
      <c r="AF137" s="499"/>
      <c r="AG137" s="499"/>
      <c r="AH137" s="499"/>
      <c r="AI137" s="499"/>
    </row>
    <row r="138" spans="1:35" s="574" customFormat="1" ht="28.5" hidden="1">
      <c r="A138" s="569">
        <v>1</v>
      </c>
      <c r="B138" s="37">
        <v>136</v>
      </c>
      <c r="C138" s="570">
        <v>41148</v>
      </c>
      <c r="D138" s="579" t="s">
        <v>358</v>
      </c>
      <c r="E138" s="579" t="s">
        <v>77</v>
      </c>
      <c r="F138" s="499" t="s">
        <v>505</v>
      </c>
      <c r="G138" s="571" t="s">
        <v>495</v>
      </c>
      <c r="H138" s="571" t="s">
        <v>494</v>
      </c>
      <c r="I138" s="571" t="str">
        <f>Table1[[#This Row],[Staff]]</f>
        <v>Nicole</v>
      </c>
      <c r="J138" s="570">
        <f>Table1[[#This Row],[Date]]</f>
        <v>41148</v>
      </c>
      <c r="K138" s="526"/>
      <c r="L138" s="526"/>
      <c r="AF138" s="499"/>
      <c r="AG138" s="499"/>
      <c r="AH138" s="499"/>
      <c r="AI138" s="499"/>
    </row>
    <row r="139" spans="1:35" s="574" customFormat="1" ht="28.5" hidden="1">
      <c r="A139" s="569">
        <v>1</v>
      </c>
      <c r="B139" s="37">
        <v>137</v>
      </c>
      <c r="C139" s="570">
        <v>41148</v>
      </c>
      <c r="D139" s="579" t="s">
        <v>358</v>
      </c>
      <c r="E139" s="579" t="s">
        <v>77</v>
      </c>
      <c r="F139" s="499" t="s">
        <v>507</v>
      </c>
      <c r="G139" s="571" t="s">
        <v>509</v>
      </c>
      <c r="H139" s="571" t="s">
        <v>508</v>
      </c>
      <c r="I139" s="571" t="str">
        <f>Table1[[#This Row],[Staff]]</f>
        <v>Nicole</v>
      </c>
      <c r="J139" s="570">
        <f>Table1[[#This Row],[Date]]</f>
        <v>41148</v>
      </c>
      <c r="K139" s="526"/>
      <c r="L139" s="526"/>
      <c r="AF139" s="499"/>
      <c r="AG139" s="499"/>
      <c r="AH139" s="499"/>
      <c r="AI139" s="499"/>
    </row>
    <row r="140" spans="1:35" s="574" customFormat="1" ht="28.5" hidden="1">
      <c r="A140" s="569">
        <v>1</v>
      </c>
      <c r="B140" s="37">
        <v>138</v>
      </c>
      <c r="C140" s="570">
        <v>41148</v>
      </c>
      <c r="D140" s="579" t="s">
        <v>358</v>
      </c>
      <c r="E140" s="579" t="s">
        <v>77</v>
      </c>
      <c r="F140" s="499" t="s">
        <v>510</v>
      </c>
      <c r="G140" s="571" t="s">
        <v>509</v>
      </c>
      <c r="H140" s="571" t="s">
        <v>508</v>
      </c>
      <c r="I140" s="571" t="str">
        <f>Table1[[#This Row],[Staff]]</f>
        <v>Nicole</v>
      </c>
      <c r="J140" s="570">
        <f>Table1[[#This Row],[Date]]</f>
        <v>41148</v>
      </c>
      <c r="K140" s="526"/>
      <c r="L140" s="526"/>
      <c r="AF140" s="499"/>
      <c r="AG140" s="499"/>
      <c r="AH140" s="499"/>
      <c r="AI140" s="499"/>
    </row>
    <row r="141" spans="1:35" s="574" customFormat="1" ht="42.75" hidden="1">
      <c r="A141" s="569">
        <v>1</v>
      </c>
      <c r="B141" s="37">
        <v>139</v>
      </c>
      <c r="C141" s="570">
        <v>41148</v>
      </c>
      <c r="D141" s="579" t="s">
        <v>358</v>
      </c>
      <c r="E141" s="579" t="s">
        <v>77</v>
      </c>
      <c r="F141" s="499" t="s">
        <v>511</v>
      </c>
      <c r="G141" s="571" t="s">
        <v>512</v>
      </c>
      <c r="H141" s="571" t="s">
        <v>513</v>
      </c>
      <c r="I141" s="571" t="str">
        <f>Table1[[#This Row],[Staff]]</f>
        <v>Nicole</v>
      </c>
      <c r="J141" s="570">
        <f>Table1[[#This Row],[Date]]</f>
        <v>41148</v>
      </c>
      <c r="K141" s="526"/>
      <c r="L141" s="526"/>
      <c r="AF141" s="499"/>
      <c r="AG141" s="499"/>
      <c r="AH141" s="499"/>
      <c r="AI141" s="499"/>
    </row>
    <row r="142" spans="1:35" s="574" customFormat="1" ht="28.5" hidden="1">
      <c r="A142" s="569">
        <v>1</v>
      </c>
      <c r="B142" s="37">
        <v>140</v>
      </c>
      <c r="C142" s="570">
        <v>41148</v>
      </c>
      <c r="D142" s="579" t="s">
        <v>358</v>
      </c>
      <c r="E142" s="579" t="s">
        <v>405</v>
      </c>
      <c r="F142" s="499" t="s">
        <v>502</v>
      </c>
      <c r="G142" s="571" t="s">
        <v>503</v>
      </c>
      <c r="H142" s="571" t="s">
        <v>515</v>
      </c>
      <c r="I142" s="571" t="str">
        <f>Table1[[#This Row],[Staff]]</f>
        <v>Nicole</v>
      </c>
      <c r="J142" s="570">
        <f>Table1[[#This Row],[Date]]</f>
        <v>41148</v>
      </c>
      <c r="K142" s="526"/>
      <c r="L142" s="526"/>
      <c r="AF142" s="499"/>
      <c r="AG142" s="499"/>
      <c r="AH142" s="499"/>
      <c r="AI142" s="499"/>
    </row>
    <row r="143" spans="1:35" s="574" customFormat="1" ht="28.5" hidden="1">
      <c r="A143" s="569">
        <v>1</v>
      </c>
      <c r="B143" s="37">
        <v>141</v>
      </c>
      <c r="C143" s="570">
        <v>41148</v>
      </c>
      <c r="D143" s="579" t="s">
        <v>358</v>
      </c>
      <c r="E143" s="579" t="s">
        <v>405</v>
      </c>
      <c r="F143" s="499" t="s">
        <v>493</v>
      </c>
      <c r="G143" s="571" t="s">
        <v>495</v>
      </c>
      <c r="H143" s="571" t="s">
        <v>494</v>
      </c>
      <c r="I143" s="571" t="str">
        <f>Table1[[#This Row],[Staff]]</f>
        <v>Nicole</v>
      </c>
      <c r="J143" s="570">
        <f>Table1[[#This Row],[Date]]</f>
        <v>41148</v>
      </c>
      <c r="K143" s="526"/>
      <c r="L143" s="526"/>
      <c r="AF143" s="499"/>
      <c r="AG143" s="499"/>
      <c r="AH143" s="499"/>
      <c r="AI143" s="499"/>
    </row>
    <row r="144" spans="1:35" s="574" customFormat="1" ht="28.5" hidden="1">
      <c r="A144" s="569">
        <v>1</v>
      </c>
      <c r="B144" s="37">
        <v>142</v>
      </c>
      <c r="C144" s="570">
        <v>41148</v>
      </c>
      <c r="D144" s="579" t="s">
        <v>358</v>
      </c>
      <c r="E144" s="579" t="s">
        <v>86</v>
      </c>
      <c r="F144" s="499" t="s">
        <v>502</v>
      </c>
      <c r="G144" s="571" t="s">
        <v>497</v>
      </c>
      <c r="H144" s="571" t="s">
        <v>498</v>
      </c>
      <c r="I144" s="571" t="str">
        <f>Table1[[#This Row],[Staff]]</f>
        <v>Nicole</v>
      </c>
      <c r="J144" s="570">
        <f>Table1[[#This Row],[Date]]</f>
        <v>41148</v>
      </c>
      <c r="K144" s="526"/>
      <c r="L144" s="526"/>
      <c r="AF144" s="499"/>
      <c r="AG144" s="499"/>
      <c r="AH144" s="499"/>
      <c r="AI144" s="499"/>
    </row>
    <row r="145" spans="1:35" s="574" customFormat="1" ht="28.5" hidden="1">
      <c r="A145" s="569">
        <v>1</v>
      </c>
      <c r="B145" s="37">
        <v>143</v>
      </c>
      <c r="C145" s="570">
        <v>41148</v>
      </c>
      <c r="D145" s="579" t="s">
        <v>358</v>
      </c>
      <c r="E145" s="579" t="s">
        <v>77</v>
      </c>
      <c r="F145" s="499" t="s">
        <v>502</v>
      </c>
      <c r="G145" s="571" t="s">
        <v>497</v>
      </c>
      <c r="H145" s="571" t="s">
        <v>498</v>
      </c>
      <c r="I145" s="571" t="str">
        <f>Table1[[#This Row],[Staff]]</f>
        <v>Nicole</v>
      </c>
      <c r="J145" s="570">
        <f>Table1[[#This Row],[Date]]</f>
        <v>41148</v>
      </c>
      <c r="K145" s="526"/>
      <c r="L145" s="526"/>
      <c r="AF145" s="499"/>
      <c r="AG145" s="499"/>
      <c r="AH145" s="499"/>
      <c r="AI145" s="499"/>
    </row>
    <row r="146" spans="1:35" s="574" customFormat="1" ht="28.5" hidden="1">
      <c r="A146" s="569">
        <v>1</v>
      </c>
      <c r="B146" s="37">
        <v>144</v>
      </c>
      <c r="C146" s="570">
        <v>41148</v>
      </c>
      <c r="D146" s="579" t="s">
        <v>358</v>
      </c>
      <c r="E146" s="579" t="s">
        <v>77</v>
      </c>
      <c r="F146" s="499" t="s">
        <v>493</v>
      </c>
      <c r="G146" s="571" t="s">
        <v>516</v>
      </c>
      <c r="H146" s="571" t="s">
        <v>498</v>
      </c>
      <c r="I146" s="571" t="str">
        <f>Table1[[#This Row],[Staff]]</f>
        <v>Nicole</v>
      </c>
      <c r="J146" s="570">
        <f>Table1[[#This Row],[Date]]</f>
        <v>41148</v>
      </c>
      <c r="K146" s="526"/>
      <c r="L146" s="526"/>
      <c r="AF146" s="499"/>
      <c r="AG146" s="499"/>
      <c r="AH146" s="499"/>
      <c r="AI146" s="499"/>
    </row>
    <row r="147" spans="1:35" s="574" customFormat="1" ht="28.5" hidden="1">
      <c r="A147" s="569">
        <v>1</v>
      </c>
      <c r="B147" s="37">
        <v>145</v>
      </c>
      <c r="C147" s="570">
        <v>41148</v>
      </c>
      <c r="D147" s="579" t="s">
        <v>358</v>
      </c>
      <c r="E147" s="579" t="s">
        <v>405</v>
      </c>
      <c r="F147" s="499" t="s">
        <v>502</v>
      </c>
      <c r="G147" s="571" t="s">
        <v>497</v>
      </c>
      <c r="H147" s="571" t="s">
        <v>498</v>
      </c>
      <c r="I147" s="571" t="str">
        <f>Table1[[#This Row],[Staff]]</f>
        <v>Nicole</v>
      </c>
      <c r="J147" s="570">
        <f>Table1[[#This Row],[Date]]</f>
        <v>41148</v>
      </c>
      <c r="K147" s="526"/>
      <c r="L147" s="526"/>
      <c r="AF147" s="499"/>
      <c r="AG147" s="499"/>
      <c r="AH147" s="499"/>
      <c r="AI147" s="499"/>
    </row>
    <row r="148" spans="1:35" s="574" customFormat="1" ht="28.5" hidden="1">
      <c r="A148" s="569">
        <v>1</v>
      </c>
      <c r="B148" s="37">
        <v>146</v>
      </c>
      <c r="C148" s="570">
        <v>41148</v>
      </c>
      <c r="D148" s="579" t="s">
        <v>358</v>
      </c>
      <c r="E148" s="579" t="s">
        <v>405</v>
      </c>
      <c r="F148" s="499" t="s">
        <v>493</v>
      </c>
      <c r="G148" s="571" t="s">
        <v>495</v>
      </c>
      <c r="H148" s="571" t="s">
        <v>494</v>
      </c>
      <c r="I148" s="571" t="str">
        <f>Table1[[#This Row],[Staff]]</f>
        <v>Nicole</v>
      </c>
      <c r="J148" s="570">
        <f>Table1[[#This Row],[Date]]</f>
        <v>41148</v>
      </c>
      <c r="K148" s="526"/>
      <c r="L148" s="526"/>
      <c r="AF148" s="499"/>
      <c r="AG148" s="499"/>
      <c r="AH148" s="499"/>
      <c r="AI148" s="499"/>
    </row>
    <row r="149" spans="1:35" s="574" customFormat="1" ht="28.5" hidden="1">
      <c r="A149" s="569">
        <v>1</v>
      </c>
      <c r="B149" s="37">
        <v>147</v>
      </c>
      <c r="C149" s="570">
        <v>41148</v>
      </c>
      <c r="D149" s="579" t="s">
        <v>358</v>
      </c>
      <c r="E149" s="579" t="s">
        <v>402</v>
      </c>
      <c r="F149" s="499" t="s">
        <v>496</v>
      </c>
      <c r="G149" s="571" t="s">
        <v>497</v>
      </c>
      <c r="H149" s="571" t="s">
        <v>498</v>
      </c>
      <c r="I149" s="571" t="str">
        <f>Table1[[#This Row],[Staff]]</f>
        <v>Nicole</v>
      </c>
      <c r="J149" s="570">
        <f>Table1[[#This Row],[Date]]</f>
        <v>41148</v>
      </c>
      <c r="K149" s="526"/>
      <c r="L149" s="526"/>
      <c r="AF149" s="499"/>
      <c r="AG149" s="499"/>
      <c r="AH149" s="499"/>
      <c r="AI149" s="499"/>
    </row>
    <row r="150" spans="1:35" s="574" customFormat="1" ht="28.5" hidden="1">
      <c r="A150" s="569">
        <v>1</v>
      </c>
      <c r="B150" s="37">
        <v>148</v>
      </c>
      <c r="C150" s="570">
        <v>41148</v>
      </c>
      <c r="D150" s="579" t="s">
        <v>358</v>
      </c>
      <c r="E150" s="579" t="s">
        <v>402</v>
      </c>
      <c r="F150" s="499" t="s">
        <v>502</v>
      </c>
      <c r="G150" s="571" t="s">
        <v>516</v>
      </c>
      <c r="H150" s="571" t="s">
        <v>498</v>
      </c>
      <c r="I150" s="571" t="str">
        <f>Table1[[#This Row],[Staff]]</f>
        <v>Nicole</v>
      </c>
      <c r="J150" s="570">
        <f>Table1[[#This Row],[Date]]</f>
        <v>41148</v>
      </c>
      <c r="K150" s="526"/>
      <c r="L150" s="526"/>
      <c r="AF150" s="499"/>
      <c r="AG150" s="499"/>
      <c r="AH150" s="499"/>
      <c r="AI150" s="499"/>
    </row>
    <row r="151" spans="1:35" s="574" customFormat="1" ht="28.5" hidden="1">
      <c r="A151" s="569">
        <v>1</v>
      </c>
      <c r="B151" s="37">
        <v>149</v>
      </c>
      <c r="C151" s="570">
        <v>41148</v>
      </c>
      <c r="D151" s="579" t="s">
        <v>358</v>
      </c>
      <c r="E151" s="579" t="s">
        <v>402</v>
      </c>
      <c r="F151" s="499" t="s">
        <v>502</v>
      </c>
      <c r="G151" s="571" t="s">
        <v>503</v>
      </c>
      <c r="H151" s="571" t="s">
        <v>518</v>
      </c>
      <c r="I151" s="571" t="str">
        <f>Table1[[#This Row],[Staff]]</f>
        <v>Nicole</v>
      </c>
      <c r="J151" s="570">
        <f>Table1[[#This Row],[Date]]</f>
        <v>41148</v>
      </c>
      <c r="K151" s="526"/>
      <c r="L151" s="526"/>
      <c r="AF151" s="499"/>
      <c r="AG151" s="499"/>
      <c r="AH151" s="499"/>
      <c r="AI151" s="499"/>
    </row>
    <row r="152" spans="1:35" s="574" customFormat="1" ht="28.5" hidden="1">
      <c r="A152" s="569">
        <v>1</v>
      </c>
      <c r="B152" s="37">
        <v>150</v>
      </c>
      <c r="C152" s="570">
        <v>41148</v>
      </c>
      <c r="D152" s="579" t="s">
        <v>358</v>
      </c>
      <c r="E152" s="579" t="s">
        <v>402</v>
      </c>
      <c r="F152" s="499" t="s">
        <v>493</v>
      </c>
      <c r="G152" s="571" t="s">
        <v>495</v>
      </c>
      <c r="H152" s="571" t="s">
        <v>494</v>
      </c>
      <c r="I152" s="571" t="str">
        <f>Table1[[#This Row],[Staff]]</f>
        <v>Nicole</v>
      </c>
      <c r="J152" s="570">
        <f>Table1[[#This Row],[Date]]</f>
        <v>41148</v>
      </c>
      <c r="K152" s="526"/>
      <c r="L152" s="526"/>
      <c r="AF152" s="499"/>
      <c r="AG152" s="499"/>
      <c r="AH152" s="499"/>
      <c r="AI152" s="499"/>
    </row>
    <row r="153" spans="1:35" s="574" customFormat="1" ht="28.5" hidden="1">
      <c r="A153" s="569">
        <v>1</v>
      </c>
      <c r="B153" s="37">
        <v>151</v>
      </c>
      <c r="C153" s="570">
        <v>41148</v>
      </c>
      <c r="D153" s="579" t="s">
        <v>358</v>
      </c>
      <c r="E153" s="579" t="s">
        <v>402</v>
      </c>
      <c r="F153" s="499" t="s">
        <v>519</v>
      </c>
      <c r="G153" s="571" t="s">
        <v>522</v>
      </c>
      <c r="H153" s="571" t="s">
        <v>520</v>
      </c>
      <c r="I153" s="571" t="str">
        <f>Table1[[#This Row],[Staff]]</f>
        <v>Nicole</v>
      </c>
      <c r="J153" s="570">
        <f>Table1[[#This Row],[Date]]</f>
        <v>41148</v>
      </c>
      <c r="K153" s="526"/>
      <c r="L153" s="526"/>
      <c r="AF153" s="499"/>
      <c r="AG153" s="499"/>
      <c r="AH153" s="499"/>
      <c r="AI153" s="499"/>
    </row>
    <row r="154" spans="1:35" s="574" customFormat="1" ht="28.5" hidden="1">
      <c r="A154" s="569">
        <v>1</v>
      </c>
      <c r="B154" s="37">
        <v>152</v>
      </c>
      <c r="C154" s="570">
        <v>41148</v>
      </c>
      <c r="D154" s="579" t="s">
        <v>358</v>
      </c>
      <c r="E154" s="579" t="s">
        <v>402</v>
      </c>
      <c r="F154" s="499" t="s">
        <v>521</v>
      </c>
      <c r="G154" s="571" t="s">
        <v>522</v>
      </c>
      <c r="H154" s="571" t="s">
        <v>520</v>
      </c>
      <c r="I154" s="571" t="str">
        <f>Table1[[#This Row],[Staff]]</f>
        <v>Nicole</v>
      </c>
      <c r="J154" s="570">
        <f>Table1[[#This Row],[Date]]</f>
        <v>41148</v>
      </c>
      <c r="K154" s="526"/>
      <c r="L154" s="526"/>
      <c r="AF154" s="499"/>
      <c r="AG154" s="499"/>
      <c r="AH154" s="499"/>
      <c r="AI154" s="499"/>
    </row>
    <row r="155" spans="1:35" s="574" customFormat="1" ht="28.5" hidden="1">
      <c r="A155" s="569">
        <v>1</v>
      </c>
      <c r="B155" s="37">
        <v>153</v>
      </c>
      <c r="C155" s="570">
        <v>41148</v>
      </c>
      <c r="D155" s="579" t="s">
        <v>358</v>
      </c>
      <c r="E155" s="579" t="s">
        <v>397</v>
      </c>
      <c r="F155" s="499" t="s">
        <v>502</v>
      </c>
      <c r="G155" s="571" t="s">
        <v>503</v>
      </c>
      <c r="H155" s="571" t="s">
        <v>524</v>
      </c>
      <c r="I155" s="571" t="str">
        <f>Table1[[#This Row],[Staff]]</f>
        <v>Nicole</v>
      </c>
      <c r="J155" s="570">
        <f>Table1[[#This Row],[Date]]</f>
        <v>41148</v>
      </c>
      <c r="K155" s="526"/>
      <c r="L155" s="526"/>
      <c r="AF155" s="499"/>
      <c r="AG155" s="499"/>
      <c r="AH155" s="499"/>
      <c r="AI155" s="499"/>
    </row>
    <row r="156" spans="1:35" s="574" customFormat="1" ht="28.5" hidden="1">
      <c r="A156" s="569">
        <v>1</v>
      </c>
      <c r="B156" s="37">
        <v>154</v>
      </c>
      <c r="C156" s="570">
        <v>41148</v>
      </c>
      <c r="D156" s="579" t="s">
        <v>358</v>
      </c>
      <c r="E156" s="579" t="s">
        <v>397</v>
      </c>
      <c r="F156" s="499" t="s">
        <v>493</v>
      </c>
      <c r="G156" s="571" t="s">
        <v>495</v>
      </c>
      <c r="H156" s="571" t="s">
        <v>494</v>
      </c>
      <c r="I156" s="571" t="str">
        <f>Table1[[#This Row],[Staff]]</f>
        <v>Nicole</v>
      </c>
      <c r="J156" s="570">
        <f>Table1[[#This Row],[Date]]</f>
        <v>41148</v>
      </c>
      <c r="K156" s="526"/>
      <c r="L156" s="526"/>
      <c r="AF156" s="499"/>
      <c r="AG156" s="499"/>
      <c r="AH156" s="499"/>
      <c r="AI156" s="499"/>
    </row>
    <row r="157" spans="1:35" s="574" customFormat="1" ht="28.5" hidden="1">
      <c r="A157" s="569">
        <v>1</v>
      </c>
      <c r="B157" s="37">
        <v>155</v>
      </c>
      <c r="C157" s="570">
        <v>41148</v>
      </c>
      <c r="D157" s="579" t="s">
        <v>358</v>
      </c>
      <c r="E157" s="579" t="s">
        <v>397</v>
      </c>
      <c r="F157" s="499" t="s">
        <v>496</v>
      </c>
      <c r="G157" s="571" t="s">
        <v>516</v>
      </c>
      <c r="H157" s="571" t="s">
        <v>498</v>
      </c>
      <c r="I157" s="571" t="str">
        <f>Table1[[#This Row],[Staff]]</f>
        <v>Nicole</v>
      </c>
      <c r="J157" s="570">
        <f>Table1[[#This Row],[Date]]</f>
        <v>41148</v>
      </c>
      <c r="K157" s="526"/>
      <c r="L157" s="526"/>
      <c r="AF157" s="499"/>
      <c r="AG157" s="499"/>
      <c r="AH157" s="499"/>
      <c r="AI157" s="499"/>
    </row>
    <row r="158" spans="1:35" s="574" customFormat="1" ht="28.5" hidden="1">
      <c r="A158" s="569">
        <v>1</v>
      </c>
      <c r="B158" s="37">
        <v>156</v>
      </c>
      <c r="C158" s="570">
        <v>41148</v>
      </c>
      <c r="D158" s="579" t="s">
        <v>358</v>
      </c>
      <c r="E158" s="579" t="s">
        <v>397</v>
      </c>
      <c r="F158" s="499" t="s">
        <v>502</v>
      </c>
      <c r="G158" s="571" t="s">
        <v>516</v>
      </c>
      <c r="H158" s="571" t="s">
        <v>498</v>
      </c>
      <c r="I158" s="571" t="str">
        <f>Table1[[#This Row],[Staff]]</f>
        <v>Nicole</v>
      </c>
      <c r="J158" s="570">
        <f>Table1[[#This Row],[Date]]</f>
        <v>41148</v>
      </c>
      <c r="K158" s="526"/>
      <c r="L158" s="526"/>
      <c r="AF158" s="499"/>
      <c r="AG158" s="499"/>
      <c r="AH158" s="499"/>
      <c r="AI158" s="499"/>
    </row>
    <row r="159" spans="1:35" s="574" customFormat="1" ht="28.5" hidden="1">
      <c r="A159" s="569">
        <v>1</v>
      </c>
      <c r="B159" s="37">
        <v>157</v>
      </c>
      <c r="C159" s="570">
        <v>41148</v>
      </c>
      <c r="D159" s="579" t="s">
        <v>358</v>
      </c>
      <c r="E159" s="579" t="s">
        <v>391</v>
      </c>
      <c r="F159" s="499" t="s">
        <v>496</v>
      </c>
      <c r="G159" s="571" t="s">
        <v>516</v>
      </c>
      <c r="H159" s="571" t="s">
        <v>498</v>
      </c>
      <c r="I159" s="571" t="str">
        <f>Table1[[#This Row],[Staff]]</f>
        <v>Nicole</v>
      </c>
      <c r="J159" s="570">
        <f>Table1[[#This Row],[Date]]</f>
        <v>41148</v>
      </c>
      <c r="K159" s="526"/>
      <c r="L159" s="526"/>
      <c r="AF159" s="499"/>
      <c r="AG159" s="499"/>
      <c r="AH159" s="499"/>
      <c r="AI159" s="499"/>
    </row>
    <row r="160" spans="1:35" s="574" customFormat="1" ht="28.5" hidden="1">
      <c r="A160" s="569">
        <v>1</v>
      </c>
      <c r="B160" s="37">
        <v>158</v>
      </c>
      <c r="C160" s="570">
        <v>41148</v>
      </c>
      <c r="D160" s="579" t="s">
        <v>358</v>
      </c>
      <c r="E160" s="579" t="s">
        <v>391</v>
      </c>
      <c r="F160" s="499" t="s">
        <v>502</v>
      </c>
      <c r="G160" s="571" t="s">
        <v>503</v>
      </c>
      <c r="H160" s="571" t="s">
        <v>526</v>
      </c>
      <c r="I160" s="571" t="str">
        <f>Table1[[#This Row],[Staff]]</f>
        <v>Nicole</v>
      </c>
      <c r="J160" s="570">
        <f>Table1[[#This Row],[Date]]</f>
        <v>41148</v>
      </c>
      <c r="K160" s="526"/>
      <c r="L160" s="526"/>
      <c r="AF160" s="499"/>
      <c r="AG160" s="499"/>
      <c r="AH160" s="499"/>
      <c r="AI160" s="499"/>
    </row>
    <row r="161" spans="1:12" ht="28.5" hidden="1">
      <c r="A161" s="569">
        <v>1</v>
      </c>
      <c r="B161" s="37">
        <v>159</v>
      </c>
      <c r="C161" s="570">
        <v>41148</v>
      </c>
      <c r="D161" s="579" t="s">
        <v>358</v>
      </c>
      <c r="E161" s="579" t="s">
        <v>391</v>
      </c>
      <c r="F161" s="499" t="s">
        <v>502</v>
      </c>
      <c r="G161" s="571" t="s">
        <v>516</v>
      </c>
      <c r="H161" s="571" t="s">
        <v>498</v>
      </c>
      <c r="I161" s="571" t="s">
        <v>0</v>
      </c>
      <c r="J161" s="570">
        <f>Table1[[#This Row],[Date]]</f>
        <v>41148</v>
      </c>
      <c r="K161" s="526"/>
      <c r="L161" s="526"/>
    </row>
    <row r="162" spans="1:12" ht="28.5" hidden="1">
      <c r="A162" s="569">
        <v>1</v>
      </c>
      <c r="B162" s="37">
        <v>160</v>
      </c>
      <c r="C162" s="570">
        <v>41148</v>
      </c>
      <c r="D162" s="579" t="s">
        <v>358</v>
      </c>
      <c r="E162" s="579" t="s">
        <v>391</v>
      </c>
      <c r="F162" s="499" t="s">
        <v>493</v>
      </c>
      <c r="G162" s="571" t="s">
        <v>495</v>
      </c>
      <c r="H162" s="571" t="s">
        <v>494</v>
      </c>
      <c r="I162" s="571" t="s">
        <v>0</v>
      </c>
      <c r="J162" s="570">
        <f>Table1[[#This Row],[Date]]</f>
        <v>41148</v>
      </c>
      <c r="K162" s="526"/>
      <c r="L162" s="526"/>
    </row>
    <row r="163" spans="1:12" ht="28.5" hidden="1">
      <c r="A163" s="569">
        <v>1</v>
      </c>
      <c r="B163" s="37">
        <v>161</v>
      </c>
      <c r="C163" s="570">
        <v>41148</v>
      </c>
      <c r="D163" s="579" t="s">
        <v>358</v>
      </c>
      <c r="E163" s="579" t="s">
        <v>389</v>
      </c>
      <c r="F163" s="499" t="s">
        <v>496</v>
      </c>
      <c r="G163" s="571" t="s">
        <v>516</v>
      </c>
      <c r="H163" s="571" t="s">
        <v>498</v>
      </c>
      <c r="I163" s="571" t="s">
        <v>0</v>
      </c>
      <c r="J163" s="570">
        <f>Table1[[#This Row],[Date]]</f>
        <v>41148</v>
      </c>
      <c r="K163" s="526"/>
      <c r="L163" s="526"/>
    </row>
    <row r="164" spans="1:12" ht="28.5" hidden="1">
      <c r="A164" s="569">
        <v>1</v>
      </c>
      <c r="B164" s="37">
        <v>162</v>
      </c>
      <c r="C164" s="570">
        <v>41148</v>
      </c>
      <c r="D164" s="579" t="s">
        <v>358</v>
      </c>
      <c r="E164" s="579" t="s">
        <v>389</v>
      </c>
      <c r="F164" s="499" t="s">
        <v>502</v>
      </c>
      <c r="G164" s="571" t="s">
        <v>516</v>
      </c>
      <c r="H164" s="571" t="s">
        <v>498</v>
      </c>
      <c r="I164" s="571" t="s">
        <v>0</v>
      </c>
      <c r="J164" s="570">
        <f>Table1[[#This Row],[Date]]</f>
        <v>41148</v>
      </c>
      <c r="K164" s="526"/>
      <c r="L164" s="526"/>
    </row>
    <row r="165" spans="1:12" ht="28.5" hidden="1">
      <c r="A165" s="569">
        <v>1</v>
      </c>
      <c r="B165" s="37">
        <v>163</v>
      </c>
      <c r="C165" s="570">
        <v>41148</v>
      </c>
      <c r="D165" s="579" t="s">
        <v>358</v>
      </c>
      <c r="E165" s="579" t="s">
        <v>389</v>
      </c>
      <c r="F165" s="499" t="s">
        <v>493</v>
      </c>
      <c r="G165" s="571" t="s">
        <v>495</v>
      </c>
      <c r="H165" s="571" t="s">
        <v>494</v>
      </c>
      <c r="I165" s="571" t="s">
        <v>0</v>
      </c>
      <c r="J165" s="570">
        <f>Table1[[#This Row],[Date]]</f>
        <v>41148</v>
      </c>
      <c r="K165" s="526"/>
      <c r="L165" s="526"/>
    </row>
    <row r="166" spans="1:12" ht="28.5" hidden="1">
      <c r="A166" s="569">
        <v>1</v>
      </c>
      <c r="B166" s="37">
        <v>164</v>
      </c>
      <c r="C166" s="570">
        <v>41148</v>
      </c>
      <c r="D166" s="579" t="s">
        <v>358</v>
      </c>
      <c r="E166" s="579" t="s">
        <v>61</v>
      </c>
      <c r="F166" s="499" t="s">
        <v>496</v>
      </c>
      <c r="G166" s="571" t="s">
        <v>516</v>
      </c>
      <c r="H166" s="571" t="s">
        <v>498</v>
      </c>
      <c r="I166" s="571" t="s">
        <v>0</v>
      </c>
      <c r="J166" s="570">
        <f>Table1[[#This Row],[Date]]</f>
        <v>41148</v>
      </c>
      <c r="K166" s="526"/>
      <c r="L166" s="526"/>
    </row>
    <row r="167" spans="1:12" ht="28.5" hidden="1">
      <c r="A167" s="569">
        <v>1</v>
      </c>
      <c r="B167" s="37">
        <v>165</v>
      </c>
      <c r="C167" s="570">
        <v>41148</v>
      </c>
      <c r="D167" s="579" t="s">
        <v>358</v>
      </c>
      <c r="E167" s="579" t="s">
        <v>384</v>
      </c>
      <c r="F167" s="499" t="s">
        <v>496</v>
      </c>
      <c r="G167" s="571" t="s">
        <v>516</v>
      </c>
      <c r="H167" s="571" t="s">
        <v>498</v>
      </c>
      <c r="I167" s="571" t="s">
        <v>0</v>
      </c>
      <c r="J167" s="570">
        <f>Table1[[#This Row],[Date]]</f>
        <v>41148</v>
      </c>
      <c r="K167" s="526"/>
      <c r="L167" s="526"/>
    </row>
    <row r="168" spans="1:12" ht="28.5" hidden="1">
      <c r="A168" s="569">
        <v>1</v>
      </c>
      <c r="B168" s="37">
        <v>166</v>
      </c>
      <c r="C168" s="570">
        <v>41148</v>
      </c>
      <c r="D168" s="579" t="s">
        <v>358</v>
      </c>
      <c r="E168" s="579" t="s">
        <v>381</v>
      </c>
      <c r="F168" s="499" t="s">
        <v>519</v>
      </c>
      <c r="G168" s="571" t="s">
        <v>527</v>
      </c>
      <c r="H168" s="571" t="s">
        <v>528</v>
      </c>
      <c r="I168" s="571" t="s">
        <v>0</v>
      </c>
      <c r="J168" s="570">
        <f>Table1[[#This Row],[Date]]</f>
        <v>41148</v>
      </c>
      <c r="K168" s="526"/>
      <c r="L168" s="526"/>
    </row>
    <row r="169" spans="1:12" ht="28.5" hidden="1">
      <c r="A169" s="569">
        <v>1</v>
      </c>
      <c r="B169" s="37">
        <v>167</v>
      </c>
      <c r="C169" s="570">
        <v>41148</v>
      </c>
      <c r="D169" s="579" t="s">
        <v>358</v>
      </c>
      <c r="E169" s="579" t="s">
        <v>381</v>
      </c>
      <c r="F169" s="499" t="s">
        <v>529</v>
      </c>
      <c r="G169" s="571" t="s">
        <v>527</v>
      </c>
      <c r="H169" s="571" t="s">
        <v>528</v>
      </c>
      <c r="I169" s="571" t="s">
        <v>0</v>
      </c>
      <c r="J169" s="570">
        <f>Table1[[#This Row],[Date]]</f>
        <v>41148</v>
      </c>
      <c r="K169" s="526"/>
      <c r="L169" s="526"/>
    </row>
    <row r="170" spans="1:12" ht="28.5" hidden="1">
      <c r="A170" s="569">
        <v>1</v>
      </c>
      <c r="B170" s="37">
        <v>168</v>
      </c>
      <c r="C170" s="570">
        <v>41148</v>
      </c>
      <c r="D170" s="579" t="s">
        <v>358</v>
      </c>
      <c r="E170" s="579" t="s">
        <v>381</v>
      </c>
      <c r="F170" s="499" t="s">
        <v>530</v>
      </c>
      <c r="G170" s="571" t="s">
        <v>527</v>
      </c>
      <c r="H170" s="571" t="s">
        <v>528</v>
      </c>
      <c r="I170" s="571" t="s">
        <v>0</v>
      </c>
      <c r="J170" s="570">
        <f>Table1[[#This Row],[Date]]</f>
        <v>41148</v>
      </c>
      <c r="K170" s="526"/>
      <c r="L170" s="526"/>
    </row>
    <row r="171" spans="1:12" ht="28.5" hidden="1">
      <c r="A171" s="569">
        <v>1</v>
      </c>
      <c r="B171" s="37">
        <v>169</v>
      </c>
      <c r="C171" s="570">
        <v>41148</v>
      </c>
      <c r="D171" s="579" t="s">
        <v>358</v>
      </c>
      <c r="E171" s="579" t="s">
        <v>381</v>
      </c>
      <c r="F171" s="499" t="s">
        <v>531</v>
      </c>
      <c r="G171" s="571" t="s">
        <v>527</v>
      </c>
      <c r="H171" s="571" t="s">
        <v>528</v>
      </c>
      <c r="I171" s="571" t="s">
        <v>0</v>
      </c>
      <c r="J171" s="570">
        <f>Table1[[#This Row],[Date]]</f>
        <v>41148</v>
      </c>
      <c r="K171" s="526"/>
      <c r="L171" s="526"/>
    </row>
    <row r="172" spans="1:12" ht="28.5" hidden="1">
      <c r="A172" s="569">
        <v>1</v>
      </c>
      <c r="B172" s="37">
        <v>170</v>
      </c>
      <c r="C172" s="570">
        <v>41148</v>
      </c>
      <c r="D172" s="579" t="s">
        <v>358</v>
      </c>
      <c r="E172" s="579" t="s">
        <v>381</v>
      </c>
      <c r="F172" s="499" t="s">
        <v>532</v>
      </c>
      <c r="G172" s="571" t="s">
        <v>527</v>
      </c>
      <c r="H172" s="571" t="s">
        <v>528</v>
      </c>
      <c r="I172" s="571" t="s">
        <v>0</v>
      </c>
      <c r="J172" s="570">
        <f>Table1[[#This Row],[Date]]</f>
        <v>41148</v>
      </c>
      <c r="K172" s="526"/>
      <c r="L172" s="526"/>
    </row>
    <row r="173" spans="1:12" ht="28.5" hidden="1">
      <c r="A173" s="569">
        <v>1</v>
      </c>
      <c r="B173" s="37">
        <v>171</v>
      </c>
      <c r="C173" s="570">
        <v>41148</v>
      </c>
      <c r="D173" s="579" t="s">
        <v>358</v>
      </c>
      <c r="E173" s="579" t="s">
        <v>381</v>
      </c>
      <c r="F173" s="499" t="s">
        <v>533</v>
      </c>
      <c r="G173" s="571" t="s">
        <v>527</v>
      </c>
      <c r="H173" s="571" t="s">
        <v>528</v>
      </c>
      <c r="I173" s="571" t="s">
        <v>0</v>
      </c>
      <c r="J173" s="570">
        <f>Table1[[#This Row],[Date]]</f>
        <v>41148</v>
      </c>
      <c r="K173" s="526"/>
      <c r="L173" s="526"/>
    </row>
    <row r="174" spans="1:12" ht="28.5" hidden="1">
      <c r="A174" s="569">
        <v>1</v>
      </c>
      <c r="B174" s="37">
        <v>172</v>
      </c>
      <c r="C174" s="570">
        <v>41148</v>
      </c>
      <c r="D174" s="579" t="s">
        <v>358</v>
      </c>
      <c r="E174" s="579" t="s">
        <v>381</v>
      </c>
      <c r="F174" s="499" t="s">
        <v>534</v>
      </c>
      <c r="G174" s="571" t="s">
        <v>535</v>
      </c>
      <c r="H174" s="571" t="s">
        <v>536</v>
      </c>
      <c r="I174" s="581" t="str">
        <f>Table1[[#This Row],[Staff]]</f>
        <v>Nicole</v>
      </c>
      <c r="J174" s="570">
        <f>Table1[[#This Row],[Date]]</f>
        <v>41148</v>
      </c>
      <c r="K174" s="526"/>
      <c r="L174" s="526"/>
    </row>
    <row r="175" spans="1:12" ht="28.5" hidden="1">
      <c r="A175" s="569">
        <v>1</v>
      </c>
      <c r="B175" s="37">
        <v>173</v>
      </c>
      <c r="C175" s="570">
        <v>41148</v>
      </c>
      <c r="D175" s="579" t="s">
        <v>358</v>
      </c>
      <c r="E175" s="579" t="s">
        <v>381</v>
      </c>
      <c r="F175" s="499" t="s">
        <v>537</v>
      </c>
      <c r="G175" s="571" t="s">
        <v>535</v>
      </c>
      <c r="H175" s="571" t="s">
        <v>536</v>
      </c>
      <c r="I175" s="581" t="str">
        <f>Table1[[#This Row],[Staff]]</f>
        <v>Nicole</v>
      </c>
      <c r="J175" s="570">
        <f>Table1[[#This Row],[Date]]</f>
        <v>41148</v>
      </c>
      <c r="K175" s="526"/>
      <c r="L175" s="526"/>
    </row>
    <row r="176" spans="1:12" ht="28.5" hidden="1">
      <c r="A176" s="569">
        <v>1</v>
      </c>
      <c r="B176" s="37">
        <v>174</v>
      </c>
      <c r="C176" s="570">
        <v>41148</v>
      </c>
      <c r="D176" s="579" t="s">
        <v>358</v>
      </c>
      <c r="E176" s="579" t="s">
        <v>381</v>
      </c>
      <c r="F176" s="499" t="s">
        <v>538</v>
      </c>
      <c r="G176" s="571" t="s">
        <v>535</v>
      </c>
      <c r="H176" s="571" t="s">
        <v>536</v>
      </c>
      <c r="I176" s="581" t="str">
        <f>Table1[[#This Row],[Staff]]</f>
        <v>Nicole</v>
      </c>
      <c r="J176" s="570">
        <f>Table1[[#This Row],[Date]]</f>
        <v>41148</v>
      </c>
      <c r="K176" s="526"/>
      <c r="L176" s="526"/>
    </row>
    <row r="177" spans="1:12" ht="28.5" hidden="1">
      <c r="A177" s="569">
        <v>1</v>
      </c>
      <c r="B177" s="37">
        <v>175</v>
      </c>
      <c r="C177" s="570">
        <v>41148</v>
      </c>
      <c r="D177" s="579" t="s">
        <v>358</v>
      </c>
      <c r="E177" s="579" t="s">
        <v>381</v>
      </c>
      <c r="F177" s="499" t="s">
        <v>539</v>
      </c>
      <c r="G177" s="571" t="s">
        <v>535</v>
      </c>
      <c r="H177" s="571" t="s">
        <v>536</v>
      </c>
      <c r="I177" s="581" t="str">
        <f>Table1[[#This Row],[Staff]]</f>
        <v>Nicole</v>
      </c>
      <c r="J177" s="570">
        <f>Table1[[#This Row],[Date]]</f>
        <v>41148</v>
      </c>
      <c r="K177" s="526"/>
      <c r="L177" s="526"/>
    </row>
    <row r="178" spans="1:12" ht="28.5" hidden="1">
      <c r="A178" s="569">
        <v>1</v>
      </c>
      <c r="B178" s="37">
        <v>176</v>
      </c>
      <c r="C178" s="570">
        <v>41148</v>
      </c>
      <c r="D178" s="579" t="s">
        <v>358</v>
      </c>
      <c r="E178" s="579" t="s">
        <v>374</v>
      </c>
      <c r="F178" s="499" t="s">
        <v>540</v>
      </c>
      <c r="G178" s="571" t="s">
        <v>541</v>
      </c>
      <c r="H178" s="571" t="s">
        <v>498</v>
      </c>
      <c r="I178" s="581" t="str">
        <f>Table1[[#This Row],[Staff]]</f>
        <v>Nicole</v>
      </c>
      <c r="J178" s="570">
        <f>Table1[[#This Row],[Date]]</f>
        <v>41148</v>
      </c>
      <c r="K178" s="526"/>
      <c r="L178" s="526"/>
    </row>
    <row r="179" spans="1:12" ht="28.5" hidden="1">
      <c r="A179" s="569">
        <v>1</v>
      </c>
      <c r="B179" s="37">
        <v>177</v>
      </c>
      <c r="C179" s="570">
        <v>41148</v>
      </c>
      <c r="D179" s="579" t="s">
        <v>358</v>
      </c>
      <c r="E179" s="579" t="s">
        <v>374</v>
      </c>
      <c r="F179" s="499" t="s">
        <v>542</v>
      </c>
      <c r="G179" s="571" t="s">
        <v>543</v>
      </c>
      <c r="H179" s="571" t="s">
        <v>544</v>
      </c>
      <c r="I179" s="581" t="str">
        <f>Table1[[#This Row],[Staff]]</f>
        <v>Nicole</v>
      </c>
      <c r="J179" s="570">
        <f>Table1[[#This Row],[Date]]</f>
        <v>41148</v>
      </c>
      <c r="K179" s="526"/>
      <c r="L179" s="526"/>
    </row>
    <row r="180" spans="1:12" ht="28.5" hidden="1">
      <c r="A180" s="569">
        <v>1</v>
      </c>
      <c r="B180" s="37">
        <v>178</v>
      </c>
      <c r="C180" s="570">
        <v>41148</v>
      </c>
      <c r="D180" s="579" t="s">
        <v>358</v>
      </c>
      <c r="E180" s="579" t="s">
        <v>374</v>
      </c>
      <c r="F180" s="499" t="s">
        <v>545</v>
      </c>
      <c r="G180" s="571" t="s">
        <v>546</v>
      </c>
      <c r="H180" s="571" t="s">
        <v>547</v>
      </c>
      <c r="I180" s="581" t="str">
        <f>Table1[[#This Row],[Staff]]</f>
        <v>Nicole</v>
      </c>
      <c r="J180" s="570">
        <f>Table1[[#This Row],[Date]]</f>
        <v>41148</v>
      </c>
      <c r="K180" s="526"/>
      <c r="L180" s="526"/>
    </row>
    <row r="181" spans="1:12" ht="28.5" hidden="1">
      <c r="A181" s="569">
        <v>1</v>
      </c>
      <c r="B181" s="37">
        <v>179</v>
      </c>
      <c r="C181" s="570">
        <v>41148</v>
      </c>
      <c r="D181" s="580" t="s">
        <v>358</v>
      </c>
      <c r="E181" s="580" t="s">
        <v>160</v>
      </c>
      <c r="F181" s="499" t="s">
        <v>502</v>
      </c>
      <c r="G181" s="571" t="s">
        <v>548</v>
      </c>
      <c r="H181" s="571" t="s">
        <v>549</v>
      </c>
      <c r="I181" s="581" t="str">
        <f>Table1[[#This Row],[Staff]]</f>
        <v>Nicole</v>
      </c>
      <c r="J181" s="570">
        <f>Table1[[#This Row],[Date]]</f>
        <v>41148</v>
      </c>
      <c r="K181" s="526"/>
      <c r="L181" s="526"/>
    </row>
    <row r="182" spans="1:12" ht="28.5" hidden="1">
      <c r="A182" s="569">
        <v>1</v>
      </c>
      <c r="B182" s="37">
        <v>180</v>
      </c>
      <c r="C182" s="570">
        <v>41148</v>
      </c>
      <c r="D182" s="580" t="s">
        <v>358</v>
      </c>
      <c r="E182" s="580" t="s">
        <v>160</v>
      </c>
      <c r="F182" s="499" t="s">
        <v>519</v>
      </c>
      <c r="G182" s="571" t="s">
        <v>548</v>
      </c>
      <c r="H182" s="571" t="s">
        <v>549</v>
      </c>
      <c r="I182" s="581" t="str">
        <f>Table1[[#This Row],[Staff]]</f>
        <v>Nicole</v>
      </c>
      <c r="J182" s="570">
        <f>Table1[[#This Row],[Date]]</f>
        <v>41148</v>
      </c>
      <c r="K182" s="526"/>
      <c r="L182" s="526"/>
    </row>
    <row r="183" spans="1:12" ht="28.5" hidden="1">
      <c r="A183" s="569">
        <v>1</v>
      </c>
      <c r="B183" s="37">
        <v>181</v>
      </c>
      <c r="C183" s="570">
        <v>41148</v>
      </c>
      <c r="D183" s="580" t="s">
        <v>358</v>
      </c>
      <c r="E183" s="580" t="s">
        <v>160</v>
      </c>
      <c r="F183" s="499" t="s">
        <v>533</v>
      </c>
      <c r="G183" s="571" t="s">
        <v>548</v>
      </c>
      <c r="H183" s="571" t="s">
        <v>549</v>
      </c>
      <c r="I183" s="581" t="str">
        <f>Table1[[#This Row],[Staff]]</f>
        <v>Nicole</v>
      </c>
      <c r="J183" s="570">
        <f>Table1[[#This Row],[Date]]</f>
        <v>41148</v>
      </c>
      <c r="K183" s="526"/>
      <c r="L183" s="526"/>
    </row>
    <row r="184" spans="1:12" ht="28.5" hidden="1">
      <c r="A184" s="569">
        <v>1</v>
      </c>
      <c r="B184" s="37">
        <v>182</v>
      </c>
      <c r="C184" s="570">
        <v>41148</v>
      </c>
      <c r="D184" s="580" t="s">
        <v>358</v>
      </c>
      <c r="E184" s="580" t="s">
        <v>374</v>
      </c>
      <c r="F184" s="499" t="s">
        <v>511</v>
      </c>
      <c r="G184" s="571" t="s">
        <v>551</v>
      </c>
      <c r="H184" s="571" t="s">
        <v>468</v>
      </c>
      <c r="I184" s="581" t="str">
        <f>Table1[[#This Row],[Staff]]</f>
        <v>Nicole</v>
      </c>
      <c r="J184" s="570">
        <f>Table1[[#This Row],[Date]]</f>
        <v>41148</v>
      </c>
      <c r="K184" s="526"/>
      <c r="L184" s="526"/>
    </row>
    <row r="185" spans="1:12" hidden="1">
      <c r="A185" s="569">
        <v>1</v>
      </c>
      <c r="B185" s="37">
        <v>183</v>
      </c>
      <c r="C185" s="570">
        <v>41148</v>
      </c>
      <c r="D185" s="580" t="s">
        <v>358</v>
      </c>
      <c r="E185" s="580" t="s">
        <v>160</v>
      </c>
      <c r="F185" s="499" t="s">
        <v>555</v>
      </c>
      <c r="G185" s="571" t="s">
        <v>556</v>
      </c>
      <c r="H185" s="571" t="s">
        <v>557</v>
      </c>
      <c r="I185" s="581" t="str">
        <f>Table1[[#This Row],[Staff]]</f>
        <v>Nicole</v>
      </c>
      <c r="J185" s="570">
        <f>Table1[[#This Row],[Date]]</f>
        <v>41148</v>
      </c>
      <c r="K185" s="526"/>
      <c r="L185" s="526"/>
    </row>
    <row r="186" spans="1:12" hidden="1">
      <c r="A186" s="569">
        <v>1</v>
      </c>
      <c r="B186" s="37">
        <v>184</v>
      </c>
      <c r="C186" s="570">
        <v>41148</v>
      </c>
      <c r="D186" s="580" t="s">
        <v>358</v>
      </c>
      <c r="E186" s="580" t="s">
        <v>374</v>
      </c>
      <c r="F186" s="499" t="s">
        <v>558</v>
      </c>
      <c r="G186" s="571" t="s">
        <v>556</v>
      </c>
      <c r="H186" s="571" t="s">
        <v>557</v>
      </c>
      <c r="I186" s="581" t="str">
        <f>Table1[[#This Row],[Staff]]</f>
        <v>Nicole</v>
      </c>
      <c r="J186" s="570">
        <f>Table1[[#This Row],[Date]]</f>
        <v>41148</v>
      </c>
      <c r="K186" s="526"/>
      <c r="L186" s="526"/>
    </row>
    <row r="187" spans="1:12" hidden="1">
      <c r="A187" s="569">
        <v>1</v>
      </c>
      <c r="B187" s="37">
        <v>185</v>
      </c>
      <c r="C187" s="570">
        <v>41148</v>
      </c>
      <c r="D187" s="580" t="s">
        <v>358</v>
      </c>
      <c r="E187" s="580" t="s">
        <v>9</v>
      </c>
      <c r="F187" s="499" t="s">
        <v>558</v>
      </c>
      <c r="G187" s="571" t="s">
        <v>556</v>
      </c>
      <c r="H187" s="571" t="s">
        <v>557</v>
      </c>
      <c r="I187" s="581" t="str">
        <f>Table1[[#This Row],[Staff]]</f>
        <v>Nicole</v>
      </c>
      <c r="J187" s="570">
        <f>Table1[[#This Row],[Date]]</f>
        <v>41148</v>
      </c>
      <c r="K187" s="526"/>
      <c r="L187" s="526"/>
    </row>
    <row r="188" spans="1:12" hidden="1">
      <c r="A188" s="569">
        <v>1</v>
      </c>
      <c r="B188" s="37">
        <v>186</v>
      </c>
      <c r="C188" s="570">
        <v>41148</v>
      </c>
      <c r="D188" s="580" t="s">
        <v>358</v>
      </c>
      <c r="E188" s="580" t="s">
        <v>381</v>
      </c>
      <c r="F188" s="499" t="s">
        <v>558</v>
      </c>
      <c r="G188" s="571" t="s">
        <v>556</v>
      </c>
      <c r="H188" s="571" t="s">
        <v>557</v>
      </c>
      <c r="I188" s="581" t="str">
        <f>Table1[[#This Row],[Staff]]</f>
        <v>Nicole</v>
      </c>
      <c r="J188" s="570">
        <f>Table1[[#This Row],[Date]]</f>
        <v>41148</v>
      </c>
      <c r="K188" s="526"/>
      <c r="L188" s="526"/>
    </row>
    <row r="189" spans="1:12" hidden="1">
      <c r="A189" s="569">
        <v>1</v>
      </c>
      <c r="B189" s="37">
        <v>187</v>
      </c>
      <c r="C189" s="570">
        <v>41148</v>
      </c>
      <c r="D189" s="580" t="s">
        <v>358</v>
      </c>
      <c r="E189" s="580" t="s">
        <v>384</v>
      </c>
      <c r="F189" s="499" t="s">
        <v>558</v>
      </c>
      <c r="G189" s="571" t="s">
        <v>556</v>
      </c>
      <c r="H189" s="571" t="s">
        <v>557</v>
      </c>
      <c r="I189" s="581" t="str">
        <f>Table1[[#This Row],[Staff]]</f>
        <v>Nicole</v>
      </c>
      <c r="J189" s="570">
        <f>Table1[[#This Row],[Date]]</f>
        <v>41148</v>
      </c>
      <c r="K189" s="526"/>
      <c r="L189" s="526"/>
    </row>
    <row r="190" spans="1:12" hidden="1">
      <c r="A190" s="569">
        <v>1</v>
      </c>
      <c r="B190" s="37">
        <v>188</v>
      </c>
      <c r="C190" s="570">
        <v>41148</v>
      </c>
      <c r="D190" s="580" t="s">
        <v>358</v>
      </c>
      <c r="E190" s="580" t="s">
        <v>61</v>
      </c>
      <c r="F190" s="499" t="s">
        <v>558</v>
      </c>
      <c r="G190" s="571" t="s">
        <v>556</v>
      </c>
      <c r="H190" s="571" t="s">
        <v>557</v>
      </c>
      <c r="I190" s="581" t="str">
        <f>Table1[[#This Row],[Staff]]</f>
        <v>Nicole</v>
      </c>
      <c r="J190" s="570">
        <f>Table1[[#This Row],[Date]]</f>
        <v>41148</v>
      </c>
      <c r="K190" s="526"/>
      <c r="L190" s="526"/>
    </row>
    <row r="191" spans="1:12" hidden="1">
      <c r="A191" s="569">
        <v>1</v>
      </c>
      <c r="B191" s="37">
        <v>189</v>
      </c>
      <c r="C191" s="570">
        <v>41148</v>
      </c>
      <c r="D191" s="580" t="s">
        <v>358</v>
      </c>
      <c r="E191" s="580" t="s">
        <v>389</v>
      </c>
      <c r="F191" s="499" t="s">
        <v>558</v>
      </c>
      <c r="G191" s="571" t="s">
        <v>556</v>
      </c>
      <c r="H191" s="571" t="s">
        <v>557</v>
      </c>
      <c r="I191" s="581" t="str">
        <f>Table1[[#This Row],[Staff]]</f>
        <v>Nicole</v>
      </c>
      <c r="J191" s="570">
        <f>Table1[[#This Row],[Date]]</f>
        <v>41148</v>
      </c>
      <c r="K191" s="526"/>
      <c r="L191" s="526"/>
    </row>
    <row r="192" spans="1:12" hidden="1">
      <c r="A192" s="569">
        <v>1</v>
      </c>
      <c r="B192" s="37">
        <v>190</v>
      </c>
      <c r="C192" s="570">
        <v>41148</v>
      </c>
      <c r="D192" s="580" t="s">
        <v>358</v>
      </c>
      <c r="E192" s="580" t="s">
        <v>391</v>
      </c>
      <c r="F192" s="499" t="s">
        <v>558</v>
      </c>
      <c r="G192" s="571" t="s">
        <v>556</v>
      </c>
      <c r="H192" s="571" t="s">
        <v>557</v>
      </c>
      <c r="I192" s="581" t="str">
        <f>Table1[[#This Row],[Staff]]</f>
        <v>Nicole</v>
      </c>
      <c r="J192" s="570">
        <f>Table1[[#This Row],[Date]]</f>
        <v>41148</v>
      </c>
      <c r="K192" s="526"/>
      <c r="L192" s="526"/>
    </row>
    <row r="193" spans="1:12" hidden="1">
      <c r="A193" s="569">
        <v>1</v>
      </c>
      <c r="B193" s="37">
        <v>191</v>
      </c>
      <c r="C193" s="570">
        <v>41148</v>
      </c>
      <c r="D193" s="580" t="s">
        <v>358</v>
      </c>
      <c r="E193" s="580" t="s">
        <v>397</v>
      </c>
      <c r="F193" s="499" t="s">
        <v>558</v>
      </c>
      <c r="G193" s="571" t="s">
        <v>556</v>
      </c>
      <c r="H193" s="571" t="s">
        <v>557</v>
      </c>
      <c r="I193" s="581" t="str">
        <f>Table1[[#This Row],[Staff]]</f>
        <v>Nicole</v>
      </c>
      <c r="J193" s="570">
        <f>Table1[[#This Row],[Date]]</f>
        <v>41148</v>
      </c>
      <c r="K193" s="526"/>
      <c r="L193" s="526"/>
    </row>
    <row r="194" spans="1:12" hidden="1">
      <c r="A194" s="569">
        <v>1</v>
      </c>
      <c r="B194" s="37">
        <v>192</v>
      </c>
      <c r="C194" s="570">
        <v>41148</v>
      </c>
      <c r="D194" s="580" t="s">
        <v>358</v>
      </c>
      <c r="E194" s="580" t="s">
        <v>402</v>
      </c>
      <c r="F194" s="499" t="s">
        <v>558</v>
      </c>
      <c r="G194" s="571" t="s">
        <v>556</v>
      </c>
      <c r="H194" s="571" t="s">
        <v>557</v>
      </c>
      <c r="I194" s="581" t="str">
        <f>Table1[[#This Row],[Staff]]</f>
        <v>Nicole</v>
      </c>
      <c r="J194" s="570">
        <f>Table1[[#This Row],[Date]]</f>
        <v>41148</v>
      </c>
      <c r="K194" s="526"/>
      <c r="L194" s="526"/>
    </row>
    <row r="195" spans="1:12" hidden="1">
      <c r="A195" s="569">
        <v>1</v>
      </c>
      <c r="B195" s="37">
        <v>193</v>
      </c>
      <c r="C195" s="570">
        <v>41148</v>
      </c>
      <c r="D195" s="580" t="s">
        <v>358</v>
      </c>
      <c r="E195" s="580" t="s">
        <v>405</v>
      </c>
      <c r="F195" s="499" t="s">
        <v>558</v>
      </c>
      <c r="G195" s="571" t="s">
        <v>556</v>
      </c>
      <c r="H195" s="571" t="s">
        <v>557</v>
      </c>
      <c r="I195" s="581" t="str">
        <f>Table1[[#This Row],[Staff]]</f>
        <v>Nicole</v>
      </c>
      <c r="J195" s="570">
        <f>Table1[[#This Row],[Date]]</f>
        <v>41148</v>
      </c>
      <c r="K195" s="526"/>
      <c r="L195" s="526"/>
    </row>
    <row r="196" spans="1:12" hidden="1">
      <c r="A196" s="569">
        <v>1</v>
      </c>
      <c r="B196" s="37">
        <v>194</v>
      </c>
      <c r="C196" s="570">
        <v>41148</v>
      </c>
      <c r="D196" s="580" t="s">
        <v>358</v>
      </c>
      <c r="E196" s="580" t="s">
        <v>77</v>
      </c>
      <c r="F196" s="499" t="s">
        <v>558</v>
      </c>
      <c r="G196" s="571" t="s">
        <v>556</v>
      </c>
      <c r="H196" s="571" t="s">
        <v>557</v>
      </c>
      <c r="I196" s="581" t="str">
        <f>Table1[[#This Row],[Staff]]</f>
        <v>Nicole</v>
      </c>
      <c r="J196" s="570">
        <f>Table1[[#This Row],[Date]]</f>
        <v>41148</v>
      </c>
      <c r="K196" s="526"/>
      <c r="L196" s="526"/>
    </row>
    <row r="197" spans="1:12" hidden="1">
      <c r="A197" s="569">
        <v>1</v>
      </c>
      <c r="B197" s="37">
        <v>195</v>
      </c>
      <c r="C197" s="570">
        <v>41148</v>
      </c>
      <c r="D197" s="580" t="s">
        <v>358</v>
      </c>
      <c r="E197" s="580" t="s">
        <v>86</v>
      </c>
      <c r="F197" s="499" t="s">
        <v>558</v>
      </c>
      <c r="G197" s="571" t="s">
        <v>556</v>
      </c>
      <c r="H197" s="571" t="s">
        <v>557</v>
      </c>
      <c r="I197" s="581" t="str">
        <f>Table1[[#This Row],[Staff]]</f>
        <v>Nicole</v>
      </c>
      <c r="J197" s="570">
        <f>Table1[[#This Row],[Date]]</f>
        <v>41148</v>
      </c>
      <c r="K197" s="526"/>
      <c r="L197" s="526"/>
    </row>
    <row r="198" spans="1:12" hidden="1">
      <c r="A198" s="569">
        <v>1</v>
      </c>
      <c r="B198" s="37">
        <v>196</v>
      </c>
      <c r="C198" s="570">
        <v>41148</v>
      </c>
      <c r="D198" s="580" t="s">
        <v>358</v>
      </c>
      <c r="E198" s="580" t="s">
        <v>409</v>
      </c>
      <c r="F198" s="499" t="s">
        <v>558</v>
      </c>
      <c r="G198" s="571" t="s">
        <v>556</v>
      </c>
      <c r="H198" s="571" t="s">
        <v>557</v>
      </c>
      <c r="I198" s="581" t="str">
        <f>Table1[[#This Row],[Staff]]</f>
        <v>Nicole</v>
      </c>
      <c r="J198" s="570">
        <f>Table1[[#This Row],[Date]]</f>
        <v>41148</v>
      </c>
      <c r="K198" s="526"/>
      <c r="L198" s="526"/>
    </row>
    <row r="199" spans="1:12" ht="28.5" hidden="1">
      <c r="A199" s="569">
        <v>1</v>
      </c>
      <c r="B199" s="37">
        <v>197</v>
      </c>
      <c r="C199" s="570">
        <v>41148</v>
      </c>
      <c r="D199" s="580" t="s">
        <v>358</v>
      </c>
      <c r="E199" s="580" t="s">
        <v>365</v>
      </c>
      <c r="F199" s="499" t="s">
        <v>559</v>
      </c>
      <c r="G199" s="571" t="s">
        <v>560</v>
      </c>
      <c r="H199" s="571" t="s">
        <v>561</v>
      </c>
      <c r="I199" s="581" t="str">
        <f>Table1[[#This Row],[Staff]]</f>
        <v>Nicole</v>
      </c>
      <c r="J199" s="570">
        <f>Table1[[#This Row],[Date]]</f>
        <v>41148</v>
      </c>
      <c r="K199" s="526"/>
      <c r="L199" s="526"/>
    </row>
    <row r="200" spans="1:12" ht="28.5" hidden="1">
      <c r="A200" s="569">
        <v>1</v>
      </c>
      <c r="B200" s="37">
        <v>198</v>
      </c>
      <c r="C200" s="570">
        <v>41148</v>
      </c>
      <c r="D200" s="580" t="s">
        <v>358</v>
      </c>
      <c r="E200" s="580" t="s">
        <v>365</v>
      </c>
      <c r="F200" s="499" t="s">
        <v>562</v>
      </c>
      <c r="G200" s="571" t="s">
        <v>563</v>
      </c>
      <c r="H200" s="571" t="s">
        <v>498</v>
      </c>
      <c r="I200" s="581" t="str">
        <f>Table1[[#This Row],[Staff]]</f>
        <v>Nicole</v>
      </c>
      <c r="J200" s="570">
        <f>Table1[[#This Row],[Date]]</f>
        <v>41148</v>
      </c>
      <c r="K200" s="526"/>
      <c r="L200" s="526"/>
    </row>
    <row r="201" spans="1:12" hidden="1">
      <c r="A201" s="569">
        <v>1</v>
      </c>
      <c r="B201" s="37">
        <v>199</v>
      </c>
      <c r="C201" s="570">
        <v>41148</v>
      </c>
      <c r="D201" s="580" t="s">
        <v>358</v>
      </c>
      <c r="E201" s="580" t="s">
        <v>160</v>
      </c>
      <c r="F201" s="499" t="s">
        <v>564</v>
      </c>
      <c r="G201" s="571" t="s">
        <v>566</v>
      </c>
      <c r="H201" s="571" t="s">
        <v>567</v>
      </c>
      <c r="I201" s="581" t="str">
        <f>Table1[[#This Row],[Staff]]</f>
        <v>Nicole</v>
      </c>
      <c r="J201" s="570">
        <f>Table1[[#This Row],[Date]]</f>
        <v>41148</v>
      </c>
      <c r="K201" s="526"/>
      <c r="L201" s="526"/>
    </row>
    <row r="202" spans="1:12" hidden="1">
      <c r="A202" s="569">
        <v>1</v>
      </c>
      <c r="B202" s="37">
        <v>200</v>
      </c>
      <c r="C202" s="570">
        <v>41148</v>
      </c>
      <c r="D202" s="580" t="s">
        <v>358</v>
      </c>
      <c r="E202" s="580" t="s">
        <v>160</v>
      </c>
      <c r="F202" s="499" t="s">
        <v>565</v>
      </c>
      <c r="G202" s="571" t="s">
        <v>566</v>
      </c>
      <c r="H202" s="571" t="s">
        <v>567</v>
      </c>
      <c r="I202" s="581" t="str">
        <f>Table1[[#This Row],[Staff]]</f>
        <v>Nicole</v>
      </c>
      <c r="J202" s="570">
        <f>Table1[[#This Row],[Date]]</f>
        <v>41148</v>
      </c>
      <c r="K202" s="526"/>
      <c r="L202" s="526"/>
    </row>
    <row r="203" spans="1:12" ht="42.75" hidden="1">
      <c r="A203" s="569">
        <v>1</v>
      </c>
      <c r="B203" s="37">
        <v>201</v>
      </c>
      <c r="C203" s="570">
        <v>41148</v>
      </c>
      <c r="D203" s="580" t="s">
        <v>358</v>
      </c>
      <c r="E203" s="580" t="s">
        <v>61</v>
      </c>
      <c r="F203" s="499" t="s">
        <v>568</v>
      </c>
      <c r="G203" s="571" t="s">
        <v>569</v>
      </c>
      <c r="H203" s="571" t="s">
        <v>570</v>
      </c>
      <c r="I203" s="581" t="str">
        <f>Table1[[#This Row],[Staff]]</f>
        <v>Nicole</v>
      </c>
      <c r="J203" s="570">
        <f>Table1[[#This Row],[Date]]</f>
        <v>41148</v>
      </c>
      <c r="K203" s="526"/>
      <c r="L203" s="526"/>
    </row>
    <row r="204" spans="1:12" ht="28.5" hidden="1">
      <c r="A204" s="569">
        <v>1</v>
      </c>
      <c r="B204" s="37">
        <v>202</v>
      </c>
      <c r="C204" s="570">
        <v>41148</v>
      </c>
      <c r="D204" s="580" t="s">
        <v>358</v>
      </c>
      <c r="E204" s="580" t="s">
        <v>381</v>
      </c>
      <c r="F204" s="499" t="s">
        <v>568</v>
      </c>
      <c r="G204" s="571" t="s">
        <v>571</v>
      </c>
      <c r="H204" s="571" t="s">
        <v>572</v>
      </c>
      <c r="I204" s="581" t="str">
        <f>Table1[[#This Row],[Staff]]</f>
        <v>Nicole</v>
      </c>
      <c r="J204" s="570">
        <f>Table1[[#This Row],[Date]]</f>
        <v>41148</v>
      </c>
      <c r="K204" s="526"/>
      <c r="L204" s="526"/>
    </row>
    <row r="205" spans="1:12" ht="28.5" hidden="1">
      <c r="A205" s="569">
        <v>1</v>
      </c>
      <c r="B205" s="37">
        <v>203</v>
      </c>
      <c r="C205" s="570">
        <v>41148</v>
      </c>
      <c r="D205" s="580" t="s">
        <v>358</v>
      </c>
      <c r="E205" s="582" t="s">
        <v>381</v>
      </c>
      <c r="F205" s="499" t="s">
        <v>573</v>
      </c>
      <c r="G205" s="571" t="s">
        <v>571</v>
      </c>
      <c r="H205" s="571" t="s">
        <v>572</v>
      </c>
      <c r="I205" s="581" t="str">
        <f>Table1[[#This Row],[Staff]]</f>
        <v>Nicole</v>
      </c>
      <c r="J205" s="570">
        <f>Table1[[#This Row],[Date]]</f>
        <v>41148</v>
      </c>
      <c r="K205" s="526"/>
      <c r="L205" s="526"/>
    </row>
    <row r="206" spans="1:12" ht="28.5" hidden="1">
      <c r="A206" s="569">
        <v>1</v>
      </c>
      <c r="B206" s="37">
        <v>204</v>
      </c>
      <c r="C206" s="570">
        <v>41148</v>
      </c>
      <c r="D206" s="580" t="s">
        <v>358</v>
      </c>
      <c r="E206" s="582" t="s">
        <v>381</v>
      </c>
      <c r="F206" s="499" t="s">
        <v>574</v>
      </c>
      <c r="G206" s="571" t="s">
        <v>571</v>
      </c>
      <c r="H206" s="571" t="s">
        <v>572</v>
      </c>
      <c r="I206" s="581" t="str">
        <f>Table1[[#This Row],[Staff]]</f>
        <v>Nicole</v>
      </c>
      <c r="J206" s="570">
        <f>Table1[[#This Row],[Date]]</f>
        <v>41148</v>
      </c>
      <c r="K206" s="526"/>
      <c r="L206" s="526"/>
    </row>
    <row r="207" spans="1:12" ht="28.5" hidden="1">
      <c r="A207" s="569">
        <v>1</v>
      </c>
      <c r="B207" s="37">
        <v>205</v>
      </c>
      <c r="C207" s="570">
        <v>41148</v>
      </c>
      <c r="D207" s="580" t="s">
        <v>358</v>
      </c>
      <c r="E207" s="582" t="s">
        <v>381</v>
      </c>
      <c r="F207" s="499" t="s">
        <v>575</v>
      </c>
      <c r="G207" s="571" t="s">
        <v>571</v>
      </c>
      <c r="H207" s="571" t="s">
        <v>572</v>
      </c>
      <c r="I207" s="581" t="str">
        <f>Table1[[#This Row],[Staff]]</f>
        <v>Nicole</v>
      </c>
      <c r="J207" s="570">
        <f>Table1[[#This Row],[Date]]</f>
        <v>41148</v>
      </c>
      <c r="K207" s="526"/>
      <c r="L207" s="526"/>
    </row>
    <row r="208" spans="1:12" ht="28.5" hidden="1">
      <c r="A208" s="569">
        <v>1</v>
      </c>
      <c r="B208" s="37">
        <v>206</v>
      </c>
      <c r="C208" s="570">
        <v>41148</v>
      </c>
      <c r="D208" s="580" t="s">
        <v>358</v>
      </c>
      <c r="E208" s="582" t="s">
        <v>381</v>
      </c>
      <c r="F208" s="499" t="s">
        <v>576</v>
      </c>
      <c r="G208" s="571" t="s">
        <v>571</v>
      </c>
      <c r="H208" s="571" t="s">
        <v>572</v>
      </c>
      <c r="I208" s="581" t="str">
        <f>Table1[[#This Row],[Staff]]</f>
        <v>Nicole</v>
      </c>
      <c r="J208" s="570">
        <f>Table1[[#This Row],[Date]]</f>
        <v>41148</v>
      </c>
      <c r="K208" s="526"/>
      <c r="L208" s="526"/>
    </row>
    <row r="209" spans="1:35" ht="28.5" hidden="1">
      <c r="A209" s="569">
        <v>1</v>
      </c>
      <c r="B209" s="37">
        <v>207</v>
      </c>
      <c r="C209" s="570">
        <v>41148</v>
      </c>
      <c r="D209" s="580" t="s">
        <v>358</v>
      </c>
      <c r="E209" s="582" t="s">
        <v>381</v>
      </c>
      <c r="F209" s="499" t="s">
        <v>577</v>
      </c>
      <c r="G209" s="571" t="s">
        <v>571</v>
      </c>
      <c r="H209" s="571" t="s">
        <v>572</v>
      </c>
      <c r="I209" s="581" t="str">
        <f>Table1[[#This Row],[Staff]]</f>
        <v>Nicole</v>
      </c>
      <c r="J209" s="570">
        <f>Table1[[#This Row],[Date]]</f>
        <v>41148</v>
      </c>
      <c r="K209" s="526"/>
      <c r="L209" s="526"/>
    </row>
    <row r="210" spans="1:35" ht="28.5" hidden="1">
      <c r="A210" s="569">
        <v>1</v>
      </c>
      <c r="B210" s="37">
        <v>208</v>
      </c>
      <c r="C210" s="570">
        <v>41148</v>
      </c>
      <c r="D210" s="580" t="s">
        <v>358</v>
      </c>
      <c r="E210" s="582" t="s">
        <v>381</v>
      </c>
      <c r="F210" s="499" t="s">
        <v>578</v>
      </c>
      <c r="G210" s="571" t="s">
        <v>571</v>
      </c>
      <c r="H210" s="571" t="s">
        <v>572</v>
      </c>
      <c r="I210" s="581" t="str">
        <f>Table1[[#This Row],[Staff]]</f>
        <v>Nicole</v>
      </c>
      <c r="J210" s="570">
        <f>Table1[[#This Row],[Date]]</f>
        <v>41148</v>
      </c>
      <c r="K210" s="526"/>
      <c r="L210" s="526"/>
    </row>
    <row r="211" spans="1:35" ht="28.5" hidden="1">
      <c r="A211" s="569">
        <v>1</v>
      </c>
      <c r="B211" s="37">
        <v>209</v>
      </c>
      <c r="C211" s="570">
        <v>41148</v>
      </c>
      <c r="D211" s="580" t="s">
        <v>358</v>
      </c>
      <c r="E211" s="582" t="s">
        <v>381</v>
      </c>
      <c r="F211" s="499" t="s">
        <v>579</v>
      </c>
      <c r="G211" s="571" t="s">
        <v>571</v>
      </c>
      <c r="H211" s="571" t="s">
        <v>572</v>
      </c>
      <c r="I211" s="581" t="str">
        <f>Table1[[#This Row],[Staff]]</f>
        <v>Nicole</v>
      </c>
      <c r="J211" s="570">
        <f>Table1[[#This Row],[Date]]</f>
        <v>41148</v>
      </c>
      <c r="K211" s="526"/>
      <c r="L211" s="526"/>
    </row>
    <row r="212" spans="1:35" ht="28.5" hidden="1">
      <c r="A212" s="569">
        <v>1</v>
      </c>
      <c r="B212" s="37">
        <v>210</v>
      </c>
      <c r="C212" s="570">
        <v>41148</v>
      </c>
      <c r="D212" s="580" t="s">
        <v>358</v>
      </c>
      <c r="E212" s="582" t="s">
        <v>381</v>
      </c>
      <c r="F212" s="499" t="s">
        <v>580</v>
      </c>
      <c r="G212" s="571" t="s">
        <v>571</v>
      </c>
      <c r="H212" s="571" t="s">
        <v>572</v>
      </c>
      <c r="I212" s="581" t="str">
        <f>Table1[[#This Row],[Staff]]</f>
        <v>Nicole</v>
      </c>
      <c r="J212" s="570">
        <f>Table1[[#This Row],[Date]]</f>
        <v>41148</v>
      </c>
      <c r="K212" s="526"/>
      <c r="L212" s="526"/>
    </row>
    <row r="213" spans="1:35" ht="28.5" hidden="1">
      <c r="A213" s="569">
        <v>1</v>
      </c>
      <c r="B213" s="37">
        <v>211</v>
      </c>
      <c r="C213" s="570">
        <v>41148</v>
      </c>
      <c r="D213" s="580" t="s">
        <v>358</v>
      </c>
      <c r="E213" s="582" t="s">
        <v>381</v>
      </c>
      <c r="F213" s="499" t="s">
        <v>581</v>
      </c>
      <c r="G213" s="571" t="s">
        <v>571</v>
      </c>
      <c r="H213" s="571" t="s">
        <v>572</v>
      </c>
      <c r="I213" s="581" t="str">
        <f>Table1[[#This Row],[Staff]]</f>
        <v>Nicole</v>
      </c>
      <c r="J213" s="570">
        <f>Table1[[#This Row],[Date]]</f>
        <v>41148</v>
      </c>
      <c r="K213" s="526"/>
      <c r="L213" s="526"/>
    </row>
    <row r="214" spans="1:35" ht="42.75" hidden="1">
      <c r="A214" s="569">
        <v>1</v>
      </c>
      <c r="B214" s="37">
        <v>212</v>
      </c>
      <c r="C214" s="570">
        <v>41148</v>
      </c>
      <c r="D214" s="583" t="s">
        <v>358</v>
      </c>
      <c r="E214" s="583" t="s">
        <v>364</v>
      </c>
      <c r="F214" s="499" t="s">
        <v>582</v>
      </c>
      <c r="G214" s="571" t="s">
        <v>583</v>
      </c>
      <c r="H214" s="571" t="s">
        <v>584</v>
      </c>
      <c r="I214" s="581" t="s">
        <v>467</v>
      </c>
      <c r="J214" s="570">
        <f>Table1[[#This Row],[Date]]</f>
        <v>41148</v>
      </c>
      <c r="K214" s="526"/>
      <c r="L214" s="526"/>
    </row>
    <row r="215" spans="1:35" ht="28.5" hidden="1">
      <c r="A215" s="569">
        <v>1</v>
      </c>
      <c r="B215" s="37">
        <v>213</v>
      </c>
      <c r="C215" s="570">
        <v>41148</v>
      </c>
      <c r="D215" s="585" t="s">
        <v>467</v>
      </c>
      <c r="E215" s="585" t="s">
        <v>365</v>
      </c>
      <c r="G215" s="571" t="s">
        <v>585</v>
      </c>
      <c r="H215" s="571" t="s">
        <v>586</v>
      </c>
      <c r="I215" s="581" t="str">
        <f>IF(Table1[[#This Row],[Staff]]="","",Table1[[#This Row],[Staff]])</f>
        <v>Maggie</v>
      </c>
      <c r="J215" s="570">
        <f>Table1[[#This Row],[Date]]</f>
        <v>41148</v>
      </c>
      <c r="K215" s="526"/>
      <c r="L215" s="526"/>
    </row>
    <row r="216" spans="1:35" s="584" customFormat="1" hidden="1">
      <c r="A216" s="596">
        <v>1</v>
      </c>
      <c r="B216" s="597">
        <v>214</v>
      </c>
      <c r="C216" s="598">
        <v>41149</v>
      </c>
      <c r="D216" s="29" t="s">
        <v>358</v>
      </c>
      <c r="E216" s="29" t="s">
        <v>9</v>
      </c>
      <c r="F216" s="599" t="s">
        <v>421</v>
      </c>
      <c r="G216" s="600" t="s">
        <v>588</v>
      </c>
      <c r="H216" s="600" t="s">
        <v>590</v>
      </c>
      <c r="I216" s="601" t="str">
        <f>IF(Table1[[#This Row],[Staff]]="","",Table1[[#This Row],[Staff]])</f>
        <v>Nicole</v>
      </c>
      <c r="J216" s="598">
        <f>Table1[[#This Row],[Date]]</f>
        <v>41149</v>
      </c>
      <c r="K216" s="526"/>
      <c r="L216" s="526"/>
      <c r="AF216" s="499"/>
      <c r="AG216" s="499"/>
      <c r="AH216" s="499"/>
      <c r="AI216" s="499"/>
    </row>
    <row r="217" spans="1:35" s="584" customFormat="1" hidden="1">
      <c r="A217" s="569">
        <v>1</v>
      </c>
      <c r="B217" s="37">
        <v>215</v>
      </c>
      <c r="C217" s="570">
        <v>41149</v>
      </c>
      <c r="D217" s="588" t="s">
        <v>358</v>
      </c>
      <c r="E217" s="588" t="s">
        <v>9</v>
      </c>
      <c r="F217" s="499" t="s">
        <v>429</v>
      </c>
      <c r="G217" s="571" t="s">
        <v>588</v>
      </c>
      <c r="H217" s="571" t="s">
        <v>589</v>
      </c>
      <c r="I217" s="581" t="str">
        <f>IF(Table1[[#This Row],[Staff]]="","",Table1[[#This Row],[Staff]])</f>
        <v>Nicole</v>
      </c>
      <c r="J217" s="570">
        <f>Table1[[#This Row],[Date]]</f>
        <v>41149</v>
      </c>
      <c r="K217" s="526"/>
      <c r="L217" s="526"/>
      <c r="AF217" s="499"/>
      <c r="AG217" s="499"/>
      <c r="AH217" s="499"/>
      <c r="AI217" s="499"/>
    </row>
    <row r="218" spans="1:35" s="584" customFormat="1" hidden="1">
      <c r="A218" s="569">
        <v>1</v>
      </c>
      <c r="B218" s="37">
        <v>216</v>
      </c>
      <c r="C218" s="570">
        <v>41149</v>
      </c>
      <c r="D218" s="588" t="s">
        <v>358</v>
      </c>
      <c r="E218" s="588" t="s">
        <v>9</v>
      </c>
      <c r="F218" s="499" t="s">
        <v>422</v>
      </c>
      <c r="G218" s="571" t="s">
        <v>588</v>
      </c>
      <c r="H218" s="571" t="s">
        <v>589</v>
      </c>
      <c r="I218" s="581" t="str">
        <f>IF(Table1[[#This Row],[Staff]]="","",Table1[[#This Row],[Staff]])</f>
        <v>Nicole</v>
      </c>
      <c r="J218" s="570">
        <f>Table1[[#This Row],[Date]]</f>
        <v>41149</v>
      </c>
      <c r="K218" s="526"/>
      <c r="L218" s="526"/>
      <c r="AF218" s="499"/>
      <c r="AG218" s="499"/>
      <c r="AH218" s="499"/>
      <c r="AI218" s="499"/>
    </row>
    <row r="219" spans="1:35" s="584" customFormat="1" hidden="1">
      <c r="A219" s="569">
        <v>1</v>
      </c>
      <c r="B219" s="37">
        <v>217</v>
      </c>
      <c r="C219" s="570">
        <v>41149</v>
      </c>
      <c r="D219" s="588" t="s">
        <v>358</v>
      </c>
      <c r="E219" s="588" t="s">
        <v>9</v>
      </c>
      <c r="F219" s="499" t="s">
        <v>423</v>
      </c>
      <c r="G219" s="571" t="s">
        <v>588</v>
      </c>
      <c r="H219" s="571" t="s">
        <v>589</v>
      </c>
      <c r="I219" s="581" t="str">
        <f>IF(Table1[[#This Row],[Staff]]="","",Table1[[#This Row],[Staff]])</f>
        <v>Nicole</v>
      </c>
      <c r="J219" s="570">
        <f>Table1[[#This Row],[Date]]</f>
        <v>41149</v>
      </c>
      <c r="K219" s="526"/>
      <c r="L219" s="526"/>
      <c r="AF219" s="499"/>
      <c r="AG219" s="499"/>
      <c r="AH219" s="499"/>
      <c r="AI219" s="499"/>
    </row>
    <row r="220" spans="1:35" s="584" customFormat="1" hidden="1">
      <c r="A220" s="569">
        <v>1</v>
      </c>
      <c r="B220" s="37">
        <v>218</v>
      </c>
      <c r="C220" s="570">
        <v>41149</v>
      </c>
      <c r="D220" s="588" t="s">
        <v>358</v>
      </c>
      <c r="E220" s="588" t="s">
        <v>9</v>
      </c>
      <c r="F220" s="499" t="s">
        <v>424</v>
      </c>
      <c r="G220" s="571" t="s">
        <v>588</v>
      </c>
      <c r="H220" s="571" t="s">
        <v>589</v>
      </c>
      <c r="I220" s="581" t="str">
        <f>IF(Table1[[#This Row],[Staff]]="","",Table1[[#This Row],[Staff]])</f>
        <v>Nicole</v>
      </c>
      <c r="J220" s="570">
        <f>Table1[[#This Row],[Date]]</f>
        <v>41149</v>
      </c>
      <c r="K220" s="526"/>
      <c r="L220" s="526"/>
      <c r="AF220" s="499"/>
      <c r="AG220" s="499"/>
      <c r="AH220" s="499"/>
      <c r="AI220" s="499"/>
    </row>
    <row r="221" spans="1:35" s="584" customFormat="1" hidden="1">
      <c r="A221" s="569">
        <v>1</v>
      </c>
      <c r="B221" s="37">
        <v>219</v>
      </c>
      <c r="C221" s="570">
        <v>41149</v>
      </c>
      <c r="D221" s="588" t="s">
        <v>358</v>
      </c>
      <c r="E221" s="588" t="s">
        <v>381</v>
      </c>
      <c r="F221" s="499" t="s">
        <v>436</v>
      </c>
      <c r="G221" s="571" t="s">
        <v>588</v>
      </c>
      <c r="H221" s="571" t="s">
        <v>589</v>
      </c>
      <c r="I221" s="581" t="str">
        <f>IF(Table1[[#This Row],[Staff]]="","",Table1[[#This Row],[Staff]])</f>
        <v>Nicole</v>
      </c>
      <c r="J221" s="570">
        <f>Table1[[#This Row],[Date]]</f>
        <v>41149</v>
      </c>
      <c r="K221" s="526"/>
      <c r="L221" s="526"/>
      <c r="AF221" s="499"/>
      <c r="AG221" s="499"/>
      <c r="AH221" s="499"/>
      <c r="AI221" s="499"/>
    </row>
    <row r="222" spans="1:35" s="584" customFormat="1" hidden="1">
      <c r="A222" s="569">
        <v>1</v>
      </c>
      <c r="B222" s="37">
        <v>220</v>
      </c>
      <c r="C222" s="570">
        <v>41149</v>
      </c>
      <c r="D222" s="588" t="s">
        <v>358</v>
      </c>
      <c r="E222" s="588" t="s">
        <v>381</v>
      </c>
      <c r="F222" s="499" t="s">
        <v>437</v>
      </c>
      <c r="G222" s="571" t="s">
        <v>588</v>
      </c>
      <c r="H222" s="571" t="s">
        <v>589</v>
      </c>
      <c r="I222" s="581" t="str">
        <f>IF(Table1[[#This Row],[Staff]]="","",Table1[[#This Row],[Staff]])</f>
        <v>Nicole</v>
      </c>
      <c r="J222" s="570">
        <f>Table1[[#This Row],[Date]]</f>
        <v>41149</v>
      </c>
      <c r="K222" s="526"/>
      <c r="L222" s="526"/>
      <c r="AF222" s="499"/>
      <c r="AG222" s="499"/>
      <c r="AH222" s="499"/>
      <c r="AI222" s="499"/>
    </row>
    <row r="223" spans="1:35" s="584" customFormat="1" hidden="1">
      <c r="A223" s="569">
        <v>1</v>
      </c>
      <c r="B223" s="37">
        <v>221</v>
      </c>
      <c r="C223" s="570">
        <v>41149</v>
      </c>
      <c r="D223" s="588" t="s">
        <v>358</v>
      </c>
      <c r="E223" s="588" t="s">
        <v>381</v>
      </c>
      <c r="F223" s="499" t="s">
        <v>438</v>
      </c>
      <c r="G223" s="571" t="s">
        <v>588</v>
      </c>
      <c r="H223" s="571" t="s">
        <v>589</v>
      </c>
      <c r="I223" s="581" t="str">
        <f>IF(Table1[[#This Row],[Staff]]="","",Table1[[#This Row],[Staff]])</f>
        <v>Nicole</v>
      </c>
      <c r="J223" s="570">
        <f>Table1[[#This Row],[Date]]</f>
        <v>41149</v>
      </c>
      <c r="K223" s="526"/>
      <c r="L223" s="526"/>
      <c r="AF223" s="499"/>
      <c r="AG223" s="499"/>
      <c r="AH223" s="499"/>
      <c r="AI223" s="499"/>
    </row>
    <row r="224" spans="1:35" s="584" customFormat="1" hidden="1">
      <c r="A224" s="569">
        <v>1</v>
      </c>
      <c r="B224" s="37">
        <v>222</v>
      </c>
      <c r="C224" s="570">
        <v>41149</v>
      </c>
      <c r="D224" s="588" t="s">
        <v>358</v>
      </c>
      <c r="E224" s="588" t="s">
        <v>381</v>
      </c>
      <c r="F224" s="499" t="s">
        <v>439</v>
      </c>
      <c r="G224" s="571" t="s">
        <v>588</v>
      </c>
      <c r="H224" s="571" t="s">
        <v>589</v>
      </c>
      <c r="I224" s="581" t="str">
        <f>IF(Table1[[#This Row],[Staff]]="","",Table1[[#This Row],[Staff]])</f>
        <v>Nicole</v>
      </c>
      <c r="J224" s="570">
        <f>Table1[[#This Row],[Date]]</f>
        <v>41149</v>
      </c>
      <c r="K224" s="526"/>
      <c r="L224" s="526"/>
      <c r="AF224" s="499"/>
      <c r="AG224" s="499"/>
      <c r="AH224" s="499"/>
      <c r="AI224" s="499"/>
    </row>
    <row r="225" spans="1:35" s="584" customFormat="1" hidden="1">
      <c r="A225" s="569">
        <v>1</v>
      </c>
      <c r="B225" s="37">
        <v>223</v>
      </c>
      <c r="C225" s="570">
        <v>41149</v>
      </c>
      <c r="D225" s="588" t="s">
        <v>358</v>
      </c>
      <c r="E225" s="588" t="s">
        <v>381</v>
      </c>
      <c r="F225" s="499" t="s">
        <v>440</v>
      </c>
      <c r="G225" s="571" t="s">
        <v>588</v>
      </c>
      <c r="H225" s="571" t="s">
        <v>589</v>
      </c>
      <c r="I225" s="581" t="str">
        <f>IF(Table1[[#This Row],[Staff]]="","",Table1[[#This Row],[Staff]])</f>
        <v>Nicole</v>
      </c>
      <c r="J225" s="570">
        <f>Table1[[#This Row],[Date]]</f>
        <v>41149</v>
      </c>
      <c r="K225" s="526"/>
      <c r="L225" s="526"/>
      <c r="AF225" s="499"/>
      <c r="AG225" s="499"/>
      <c r="AH225" s="499"/>
      <c r="AI225" s="499"/>
    </row>
    <row r="226" spans="1:35" s="584" customFormat="1" hidden="1">
      <c r="A226" s="569">
        <v>1</v>
      </c>
      <c r="B226" s="37">
        <v>224</v>
      </c>
      <c r="C226" s="570">
        <v>41149</v>
      </c>
      <c r="D226" s="588" t="s">
        <v>358</v>
      </c>
      <c r="E226" s="588" t="s">
        <v>381</v>
      </c>
      <c r="F226" s="499" t="s">
        <v>441</v>
      </c>
      <c r="G226" s="571" t="s">
        <v>588</v>
      </c>
      <c r="H226" s="571" t="s">
        <v>589</v>
      </c>
      <c r="I226" s="581" t="str">
        <f>IF(Table1[[#This Row],[Staff]]="","",Table1[[#This Row],[Staff]])</f>
        <v>Nicole</v>
      </c>
      <c r="J226" s="570">
        <f>Table1[[#This Row],[Date]]</f>
        <v>41149</v>
      </c>
      <c r="K226" s="526"/>
      <c r="L226" s="526"/>
      <c r="AF226" s="499"/>
      <c r="AG226" s="499"/>
      <c r="AH226" s="499"/>
      <c r="AI226" s="499"/>
    </row>
    <row r="227" spans="1:35" s="584" customFormat="1" hidden="1">
      <c r="A227" s="569">
        <v>1</v>
      </c>
      <c r="B227" s="37">
        <v>225</v>
      </c>
      <c r="C227" s="570">
        <v>41149</v>
      </c>
      <c r="D227" s="588" t="s">
        <v>358</v>
      </c>
      <c r="E227" s="588" t="s">
        <v>381</v>
      </c>
      <c r="F227" s="499" t="s">
        <v>442</v>
      </c>
      <c r="G227" s="571" t="s">
        <v>588</v>
      </c>
      <c r="H227" s="571" t="s">
        <v>589</v>
      </c>
      <c r="I227" s="581" t="str">
        <f>IF(Table1[[#This Row],[Staff]]="","",Table1[[#This Row],[Staff]])</f>
        <v>Nicole</v>
      </c>
      <c r="J227" s="570">
        <f>Table1[[#This Row],[Date]]</f>
        <v>41149</v>
      </c>
      <c r="K227" s="526"/>
      <c r="L227" s="526"/>
      <c r="AF227" s="499"/>
      <c r="AG227" s="499"/>
      <c r="AH227" s="499"/>
      <c r="AI227" s="499"/>
    </row>
    <row r="228" spans="1:35" s="584" customFormat="1" hidden="1">
      <c r="A228" s="569">
        <v>1</v>
      </c>
      <c r="B228" s="37">
        <v>226</v>
      </c>
      <c r="C228" s="570">
        <v>41149</v>
      </c>
      <c r="D228" s="588" t="s">
        <v>358</v>
      </c>
      <c r="E228" s="588" t="s">
        <v>381</v>
      </c>
      <c r="F228" s="499" t="s">
        <v>443</v>
      </c>
      <c r="G228" s="571" t="s">
        <v>588</v>
      </c>
      <c r="H228" s="571" t="s">
        <v>589</v>
      </c>
      <c r="I228" s="581" t="str">
        <f>IF(Table1[[#This Row],[Staff]]="","",Table1[[#This Row],[Staff]])</f>
        <v>Nicole</v>
      </c>
      <c r="J228" s="570">
        <f>Table1[[#This Row],[Date]]</f>
        <v>41149</v>
      </c>
      <c r="K228" s="526"/>
      <c r="L228" s="526"/>
      <c r="AF228" s="499"/>
      <c r="AG228" s="499"/>
      <c r="AH228" s="499"/>
      <c r="AI228" s="499"/>
    </row>
    <row r="229" spans="1:35" s="584" customFormat="1" hidden="1">
      <c r="A229" s="569">
        <v>1</v>
      </c>
      <c r="B229" s="37">
        <v>227</v>
      </c>
      <c r="C229" s="570">
        <v>41149</v>
      </c>
      <c r="D229" s="588" t="s">
        <v>358</v>
      </c>
      <c r="E229" s="588" t="s">
        <v>381</v>
      </c>
      <c r="F229" s="499" t="s">
        <v>444</v>
      </c>
      <c r="G229" s="571" t="s">
        <v>588</v>
      </c>
      <c r="H229" s="571" t="s">
        <v>589</v>
      </c>
      <c r="I229" s="581" t="str">
        <f>IF(Table1[[#This Row],[Staff]]="","",Table1[[#This Row],[Staff]])</f>
        <v>Nicole</v>
      </c>
      <c r="J229" s="570">
        <f>Table1[[#This Row],[Date]]</f>
        <v>41149</v>
      </c>
      <c r="K229" s="526"/>
      <c r="L229" s="526"/>
      <c r="AF229" s="499"/>
      <c r="AG229" s="499"/>
      <c r="AH229" s="499"/>
      <c r="AI229" s="499"/>
    </row>
    <row r="230" spans="1:35" s="592" customFormat="1" ht="42.75" hidden="1">
      <c r="A230" s="589">
        <v>1</v>
      </c>
      <c r="B230" s="590">
        <v>228</v>
      </c>
      <c r="C230" s="591">
        <v>41149</v>
      </c>
      <c r="D230" s="592" t="s">
        <v>358</v>
      </c>
      <c r="E230" s="592" t="s">
        <v>381</v>
      </c>
      <c r="F230" s="593" t="s">
        <v>445</v>
      </c>
      <c r="G230" s="594" t="s">
        <v>588</v>
      </c>
      <c r="H230" s="594" t="s">
        <v>591</v>
      </c>
      <c r="I230" s="595" t="str">
        <f>IF(Table1[[#This Row],[Staff]]="","",Table1[[#This Row],[Staff]])</f>
        <v>Nicole</v>
      </c>
      <c r="J230" s="591">
        <f>Table1[[#This Row],[Date]]</f>
        <v>41149</v>
      </c>
      <c r="K230" s="602"/>
      <c r="L230" s="602"/>
      <c r="AF230" s="593"/>
      <c r="AG230" s="593"/>
      <c r="AH230" s="593"/>
      <c r="AI230" s="593"/>
    </row>
    <row r="231" spans="1:35" s="584" customFormat="1">
      <c r="A231" s="569">
        <v>1</v>
      </c>
      <c r="B231" s="37">
        <v>229</v>
      </c>
      <c r="C231" s="570"/>
      <c r="F231" s="499"/>
      <c r="G231" s="571"/>
      <c r="H231" s="571"/>
      <c r="I231" s="581" t="str">
        <f>IF(Table1[[#This Row],[Staff]]="","",Table1[[#This Row],[Staff]])</f>
        <v/>
      </c>
      <c r="J231" s="570">
        <f>Table1[[#This Row],[Date]]</f>
        <v>0</v>
      </c>
      <c r="K231" s="526"/>
      <c r="L231" s="526"/>
      <c r="AF231" s="499"/>
      <c r="AG231" s="499"/>
      <c r="AH231" s="499"/>
      <c r="AI231" s="499"/>
    </row>
    <row r="232" spans="1:35" s="584" customFormat="1">
      <c r="A232" s="569">
        <v>1</v>
      </c>
      <c r="B232" s="37">
        <v>230</v>
      </c>
      <c r="C232" s="570"/>
      <c r="F232" s="499"/>
      <c r="G232" s="571"/>
      <c r="H232" s="571"/>
      <c r="I232" s="581" t="str">
        <f>IF(Table1[[#This Row],[Staff]]="","",Table1[[#This Row],[Staff]])</f>
        <v/>
      </c>
      <c r="J232" s="570">
        <f>Table1[[#This Row],[Date]]</f>
        <v>0</v>
      </c>
      <c r="K232" s="526"/>
      <c r="L232" s="526"/>
      <c r="AF232" s="499"/>
      <c r="AG232" s="499"/>
      <c r="AH232" s="499"/>
      <c r="AI232" s="499"/>
    </row>
    <row r="233" spans="1:35" s="584" customFormat="1">
      <c r="A233" s="569">
        <v>1</v>
      </c>
      <c r="B233" s="37">
        <v>231</v>
      </c>
      <c r="C233" s="570"/>
      <c r="F233" s="499"/>
      <c r="G233" s="571"/>
      <c r="H233" s="571"/>
      <c r="I233" s="581" t="str">
        <f>IF(Table1[[#This Row],[Staff]]="","",Table1[[#This Row],[Staff]])</f>
        <v/>
      </c>
      <c r="J233" s="570">
        <f>Table1[[#This Row],[Date]]</f>
        <v>0</v>
      </c>
      <c r="K233" s="526"/>
      <c r="L233" s="526"/>
      <c r="AF233" s="499"/>
      <c r="AG233" s="499"/>
      <c r="AH233" s="499"/>
      <c r="AI233" s="499"/>
    </row>
    <row r="234" spans="1:35" s="584" customFormat="1">
      <c r="A234" s="569">
        <v>1</v>
      </c>
      <c r="B234" s="37">
        <v>232</v>
      </c>
      <c r="C234" s="570"/>
      <c r="F234" s="499"/>
      <c r="G234" s="571"/>
      <c r="H234" s="571"/>
      <c r="I234" s="581" t="str">
        <f>IF(Table1[[#This Row],[Staff]]="","",Table1[[#This Row],[Staff]])</f>
        <v/>
      </c>
      <c r="J234" s="570">
        <f>Table1[[#This Row],[Date]]</f>
        <v>0</v>
      </c>
      <c r="K234" s="526"/>
      <c r="L234" s="526"/>
      <c r="AF234" s="499"/>
      <c r="AG234" s="499"/>
      <c r="AH234" s="499"/>
      <c r="AI234" s="499"/>
    </row>
    <row r="235" spans="1:35" s="584" customFormat="1">
      <c r="A235" s="569">
        <v>1</v>
      </c>
      <c r="B235" s="37">
        <v>233</v>
      </c>
      <c r="C235" s="570"/>
      <c r="F235" s="499"/>
      <c r="G235" s="571"/>
      <c r="H235" s="571"/>
      <c r="I235" s="581" t="str">
        <f>IF(Table1[[#This Row],[Staff]]="","",Table1[[#This Row],[Staff]])</f>
        <v/>
      </c>
      <c r="J235" s="570">
        <f>Table1[[#This Row],[Date]]</f>
        <v>0</v>
      </c>
      <c r="K235" s="526"/>
      <c r="L235" s="526"/>
      <c r="AF235" s="499"/>
      <c r="AG235" s="499"/>
      <c r="AH235" s="499"/>
      <c r="AI235" s="499"/>
    </row>
    <row r="236" spans="1:35" s="584" customFormat="1">
      <c r="A236" s="569">
        <v>1</v>
      </c>
      <c r="B236" s="37">
        <v>234</v>
      </c>
      <c r="C236" s="570"/>
      <c r="F236" s="499"/>
      <c r="G236" s="571"/>
      <c r="H236" s="571"/>
      <c r="I236" s="581" t="str">
        <f>IF(Table1[[#This Row],[Staff]]="","",Table1[[#This Row],[Staff]])</f>
        <v/>
      </c>
      <c r="J236" s="570">
        <f>Table1[[#This Row],[Date]]</f>
        <v>0</v>
      </c>
      <c r="K236" s="526"/>
      <c r="L236" s="526"/>
      <c r="AF236" s="499"/>
      <c r="AG236" s="499"/>
      <c r="AH236" s="499"/>
      <c r="AI236" s="499"/>
    </row>
    <row r="237" spans="1:35" s="584" customFormat="1">
      <c r="A237" s="569">
        <v>1</v>
      </c>
      <c r="B237" s="37">
        <v>235</v>
      </c>
      <c r="C237" s="570"/>
      <c r="F237" s="499"/>
      <c r="G237" s="571"/>
      <c r="H237" s="571"/>
      <c r="I237" s="581" t="str">
        <f>IF(Table1[[#This Row],[Staff]]="","",Table1[[#This Row],[Staff]])</f>
        <v/>
      </c>
      <c r="J237" s="570">
        <f>Table1[[#This Row],[Date]]</f>
        <v>0</v>
      </c>
      <c r="K237" s="526"/>
      <c r="L237" s="526"/>
      <c r="AF237" s="499"/>
      <c r="AG237" s="499"/>
      <c r="AH237" s="499"/>
      <c r="AI237" s="499"/>
    </row>
    <row r="238" spans="1:35" s="584" customFormat="1">
      <c r="A238" s="569">
        <v>1</v>
      </c>
      <c r="B238" s="37">
        <v>236</v>
      </c>
      <c r="C238" s="570"/>
      <c r="F238" s="499"/>
      <c r="G238" s="571"/>
      <c r="H238" s="571"/>
      <c r="I238" s="581" t="str">
        <f>IF(Table1[[#This Row],[Staff]]="","",Table1[[#This Row],[Staff]])</f>
        <v/>
      </c>
      <c r="J238" s="570">
        <f>Table1[[#This Row],[Date]]</f>
        <v>0</v>
      </c>
      <c r="K238" s="526"/>
      <c r="L238" s="526"/>
      <c r="AF238" s="499"/>
      <c r="AG238" s="499"/>
      <c r="AH238" s="499"/>
      <c r="AI238" s="499"/>
    </row>
    <row r="239" spans="1:35" s="584" customFormat="1">
      <c r="A239" s="569">
        <v>1</v>
      </c>
      <c r="B239" s="37">
        <v>237</v>
      </c>
      <c r="C239" s="570"/>
      <c r="F239" s="499"/>
      <c r="G239" s="571"/>
      <c r="H239" s="571"/>
      <c r="I239" s="581" t="str">
        <f>IF(Table1[[#This Row],[Staff]]="","",Table1[[#This Row],[Staff]])</f>
        <v/>
      </c>
      <c r="J239" s="570">
        <f>Table1[[#This Row],[Date]]</f>
        <v>0</v>
      </c>
      <c r="K239" s="526"/>
      <c r="L239" s="526"/>
      <c r="AF239" s="499"/>
      <c r="AG239" s="499"/>
      <c r="AH239" s="499"/>
      <c r="AI239" s="499"/>
    </row>
    <row r="240" spans="1:35" s="584" customFormat="1">
      <c r="A240" s="569"/>
      <c r="B240" s="37">
        <v>238</v>
      </c>
      <c r="C240" s="570"/>
      <c r="F240" s="499"/>
      <c r="G240" s="571"/>
      <c r="H240" s="571"/>
      <c r="I240" s="581" t="str">
        <f>IF(Table1[[#This Row],[Staff]]="","",Table1[[#This Row],[Staff]])</f>
        <v/>
      </c>
      <c r="J240" s="570">
        <f>Table1[[#This Row],[Date]]</f>
        <v>0</v>
      </c>
      <c r="K240" s="526"/>
      <c r="L240" s="526"/>
      <c r="AF240" s="499"/>
      <c r="AG240" s="499"/>
      <c r="AH240" s="499"/>
      <c r="AI240" s="499"/>
    </row>
    <row r="241" spans="1:35" s="584" customFormat="1">
      <c r="A241" s="569"/>
      <c r="B241" s="37">
        <v>239</v>
      </c>
      <c r="C241" s="570"/>
      <c r="F241" s="499"/>
      <c r="G241" s="571"/>
      <c r="H241" s="571"/>
      <c r="I241" s="581" t="str">
        <f>IF(Table1[[#This Row],[Staff]]="","",Table1[[#This Row],[Staff]])</f>
        <v/>
      </c>
      <c r="J241" s="570">
        <f>Table1[[#This Row],[Date]]</f>
        <v>0</v>
      </c>
      <c r="K241" s="526"/>
      <c r="L241" s="526"/>
      <c r="AF241" s="499"/>
      <c r="AG241" s="499"/>
      <c r="AH241" s="499"/>
      <c r="AI241" s="499"/>
    </row>
    <row r="242" spans="1:35" s="584" customFormat="1">
      <c r="A242" s="569"/>
      <c r="B242" s="37">
        <v>240</v>
      </c>
      <c r="C242" s="570"/>
      <c r="F242" s="499"/>
      <c r="G242" s="571"/>
      <c r="H242" s="571"/>
      <c r="I242" s="581" t="str">
        <f>IF(Table1[[#This Row],[Staff]]="","",Table1[[#This Row],[Staff]])</f>
        <v/>
      </c>
      <c r="J242" s="570">
        <f>Table1[[#This Row],[Date]]</f>
        <v>0</v>
      </c>
      <c r="K242" s="526"/>
      <c r="L242" s="526"/>
      <c r="AF242" s="499"/>
      <c r="AG242" s="499"/>
      <c r="AH242" s="499"/>
      <c r="AI242" s="499"/>
    </row>
    <row r="243" spans="1:35" s="584" customFormat="1">
      <c r="A243" s="569"/>
      <c r="B243" s="37">
        <v>241</v>
      </c>
      <c r="C243" s="570"/>
      <c r="F243" s="499"/>
      <c r="G243" s="571"/>
      <c r="H243" s="571"/>
      <c r="I243" s="581" t="str">
        <f>IF(Table1[[#This Row],[Staff]]="","",Table1[[#This Row],[Staff]])</f>
        <v/>
      </c>
      <c r="J243" s="570">
        <f>Table1[[#This Row],[Date]]</f>
        <v>0</v>
      </c>
      <c r="K243" s="526"/>
      <c r="L243" s="526"/>
      <c r="AF243" s="499"/>
      <c r="AG243" s="499"/>
      <c r="AH243" s="499"/>
      <c r="AI243" s="499"/>
    </row>
    <row r="244" spans="1:35" s="584" customFormat="1">
      <c r="A244" s="569"/>
      <c r="B244" s="37">
        <v>242</v>
      </c>
      <c r="C244" s="570"/>
      <c r="F244" s="499"/>
      <c r="G244" s="571"/>
      <c r="H244" s="571"/>
      <c r="I244" s="581" t="str">
        <f>IF(Table1[[#This Row],[Staff]]="","",Table1[[#This Row],[Staff]])</f>
        <v/>
      </c>
      <c r="J244" s="570">
        <f>Table1[[#This Row],[Date]]</f>
        <v>0</v>
      </c>
      <c r="K244" s="526"/>
      <c r="L244" s="526"/>
      <c r="AF244" s="499"/>
      <c r="AG244" s="499"/>
      <c r="AH244" s="499"/>
      <c r="AI244" s="499"/>
    </row>
    <row r="245" spans="1:35" s="584" customFormat="1">
      <c r="A245" s="569"/>
      <c r="B245" s="37">
        <v>243</v>
      </c>
      <c r="C245" s="570"/>
      <c r="F245" s="499"/>
      <c r="G245" s="571"/>
      <c r="H245" s="571"/>
      <c r="I245" s="581" t="str">
        <f>IF(Table1[[#This Row],[Staff]]="","",Table1[[#This Row],[Staff]])</f>
        <v/>
      </c>
      <c r="J245" s="570">
        <f>Table1[[#This Row],[Date]]</f>
        <v>0</v>
      </c>
      <c r="K245" s="526"/>
      <c r="L245" s="526"/>
      <c r="AF245" s="499"/>
      <c r="AG245" s="499"/>
      <c r="AH245" s="499"/>
      <c r="AI245" s="499"/>
    </row>
    <row r="246" spans="1:35" s="584" customFormat="1">
      <c r="A246" s="569"/>
      <c r="B246" s="37">
        <v>244</v>
      </c>
      <c r="C246" s="570"/>
      <c r="F246" s="499"/>
      <c r="G246" s="571"/>
      <c r="H246" s="571"/>
      <c r="I246" s="581" t="str">
        <f>IF(Table1[[#This Row],[Staff]]="","",Table1[[#This Row],[Staff]])</f>
        <v/>
      </c>
      <c r="J246" s="570">
        <f>Table1[[#This Row],[Date]]</f>
        <v>0</v>
      </c>
      <c r="K246" s="526"/>
      <c r="L246" s="526"/>
      <c r="AF246" s="499"/>
      <c r="AG246" s="499"/>
      <c r="AH246" s="499"/>
      <c r="AI246" s="499"/>
    </row>
    <row r="247" spans="1:35" s="584" customFormat="1">
      <c r="A247" s="569"/>
      <c r="B247" s="37">
        <v>245</v>
      </c>
      <c r="C247" s="570"/>
      <c r="F247" s="499"/>
      <c r="G247" s="571"/>
      <c r="H247" s="571"/>
      <c r="I247" s="581" t="str">
        <f>IF(Table1[[#This Row],[Staff]]="","",Table1[[#This Row],[Staff]])</f>
        <v/>
      </c>
      <c r="J247" s="570">
        <f>Table1[[#This Row],[Date]]</f>
        <v>0</v>
      </c>
      <c r="K247" s="526"/>
      <c r="L247" s="526"/>
      <c r="AF247" s="499"/>
      <c r="AG247" s="499"/>
      <c r="AH247" s="499"/>
      <c r="AI247" s="499"/>
    </row>
    <row r="248" spans="1:35" s="584" customFormat="1">
      <c r="A248" s="569"/>
      <c r="B248" s="37">
        <v>246</v>
      </c>
      <c r="C248" s="570"/>
      <c r="F248" s="499"/>
      <c r="G248" s="571"/>
      <c r="H248" s="571"/>
      <c r="I248" s="581" t="str">
        <f>IF(Table1[[#This Row],[Staff]]="","",Table1[[#This Row],[Staff]])</f>
        <v/>
      </c>
      <c r="J248" s="570">
        <f>Table1[[#This Row],[Date]]</f>
        <v>0</v>
      </c>
      <c r="K248" s="526"/>
      <c r="L248" s="526"/>
      <c r="AF248" s="499"/>
      <c r="AG248" s="499"/>
      <c r="AH248" s="499"/>
      <c r="AI248" s="499"/>
    </row>
    <row r="249" spans="1:35" s="584" customFormat="1">
      <c r="A249" s="569"/>
      <c r="B249" s="37">
        <v>247</v>
      </c>
      <c r="C249" s="570"/>
      <c r="F249" s="499"/>
      <c r="G249" s="571"/>
      <c r="H249" s="571"/>
      <c r="I249" s="581" t="str">
        <f>IF(Table1[[#This Row],[Staff]]="","",Table1[[#This Row],[Staff]])</f>
        <v/>
      </c>
      <c r="J249" s="570">
        <f>Table1[[#This Row],[Date]]</f>
        <v>0</v>
      </c>
      <c r="K249" s="526"/>
      <c r="L249" s="526"/>
      <c r="AF249" s="499"/>
      <c r="AG249" s="499"/>
      <c r="AH249" s="499"/>
      <c r="AI249" s="499"/>
    </row>
    <row r="250" spans="1:35" s="584" customFormat="1">
      <c r="A250" s="569"/>
      <c r="B250" s="37">
        <v>248</v>
      </c>
      <c r="C250" s="570"/>
      <c r="F250" s="499"/>
      <c r="G250" s="571"/>
      <c r="H250" s="571"/>
      <c r="I250" s="581" t="str">
        <f>IF(Table1[[#This Row],[Staff]]="","",Table1[[#This Row],[Staff]])</f>
        <v/>
      </c>
      <c r="J250" s="570">
        <f>Table1[[#This Row],[Date]]</f>
        <v>0</v>
      </c>
      <c r="K250" s="526"/>
      <c r="L250" s="526"/>
      <c r="AF250" s="499"/>
      <c r="AG250" s="499"/>
      <c r="AH250" s="499"/>
      <c r="AI250" s="499"/>
    </row>
    <row r="251" spans="1:35" s="584" customFormat="1">
      <c r="A251" s="569"/>
      <c r="B251" s="37">
        <v>249</v>
      </c>
      <c r="C251" s="570"/>
      <c r="F251" s="499"/>
      <c r="G251" s="571"/>
      <c r="H251" s="571"/>
      <c r="I251" s="581" t="str">
        <f>IF(Table1[[#This Row],[Staff]]="","",Table1[[#This Row],[Staff]])</f>
        <v/>
      </c>
      <c r="J251" s="570">
        <f>Table1[[#This Row],[Date]]</f>
        <v>0</v>
      </c>
      <c r="K251" s="526"/>
      <c r="L251" s="526"/>
      <c r="AF251" s="499"/>
      <c r="AG251" s="499"/>
      <c r="AH251" s="499"/>
      <c r="AI251" s="499"/>
    </row>
    <row r="252" spans="1:35" s="584" customFormat="1">
      <c r="A252" s="569"/>
      <c r="B252" s="37">
        <v>250</v>
      </c>
      <c r="C252" s="570"/>
      <c r="F252" s="499"/>
      <c r="G252" s="571"/>
      <c r="H252" s="571"/>
      <c r="I252" s="581" t="str">
        <f>IF(Table1[[#This Row],[Staff]]="","",Table1[[#This Row],[Staff]])</f>
        <v/>
      </c>
      <c r="J252" s="570">
        <f>Table1[[#This Row],[Date]]</f>
        <v>0</v>
      </c>
      <c r="K252" s="526"/>
      <c r="L252" s="526"/>
      <c r="AF252" s="499"/>
      <c r="AG252" s="499"/>
      <c r="AH252" s="499"/>
      <c r="AI252" s="499"/>
    </row>
    <row r="253" spans="1:35" s="584" customFormat="1">
      <c r="A253" s="569"/>
      <c r="B253" s="37">
        <v>251</v>
      </c>
      <c r="C253" s="570"/>
      <c r="F253" s="499"/>
      <c r="G253" s="571"/>
      <c r="H253" s="571"/>
      <c r="I253" s="581" t="str">
        <f>IF(Table1[[#This Row],[Staff]]="","",Table1[[#This Row],[Staff]])</f>
        <v/>
      </c>
      <c r="J253" s="570">
        <f>Table1[[#This Row],[Date]]</f>
        <v>0</v>
      </c>
      <c r="K253" s="526"/>
      <c r="L253" s="526"/>
      <c r="AF253" s="499"/>
      <c r="AG253" s="499"/>
      <c r="AH253" s="499"/>
      <c r="AI253" s="499"/>
    </row>
    <row r="254" spans="1:35" s="584" customFormat="1">
      <c r="A254" s="569"/>
      <c r="B254" s="37">
        <v>252</v>
      </c>
      <c r="C254" s="570"/>
      <c r="F254" s="499"/>
      <c r="G254" s="571"/>
      <c r="H254" s="571"/>
      <c r="I254" s="581" t="str">
        <f>IF(Table1[[#This Row],[Staff]]="","",Table1[[#This Row],[Staff]])</f>
        <v/>
      </c>
      <c r="J254" s="570">
        <f>Table1[[#This Row],[Date]]</f>
        <v>0</v>
      </c>
      <c r="K254" s="526"/>
      <c r="L254" s="526"/>
      <c r="AF254" s="499"/>
      <c r="AG254" s="499"/>
      <c r="AH254" s="499"/>
      <c r="AI254" s="499"/>
    </row>
    <row r="255" spans="1:35" s="584" customFormat="1">
      <c r="A255" s="569"/>
      <c r="B255" s="37">
        <v>253</v>
      </c>
      <c r="C255" s="570"/>
      <c r="F255" s="499"/>
      <c r="G255" s="571"/>
      <c r="H255" s="571"/>
      <c r="I255" s="581" t="str">
        <f>IF(Table1[[#This Row],[Staff]]="","",Table1[[#This Row],[Staff]])</f>
        <v/>
      </c>
      <c r="J255" s="570">
        <f>Table1[[#This Row],[Date]]</f>
        <v>0</v>
      </c>
      <c r="K255" s="526"/>
      <c r="L255" s="526"/>
      <c r="AF255" s="499"/>
      <c r="AG255" s="499"/>
      <c r="AH255" s="499"/>
      <c r="AI255" s="499"/>
    </row>
    <row r="256" spans="1:35" s="584" customFormat="1">
      <c r="A256" s="569"/>
      <c r="B256" s="37">
        <v>254</v>
      </c>
      <c r="C256" s="570"/>
      <c r="F256" s="499"/>
      <c r="G256" s="571"/>
      <c r="H256" s="571"/>
      <c r="I256" s="581" t="str">
        <f>IF(Table1[[#This Row],[Staff]]="","",Table1[[#This Row],[Staff]])</f>
        <v/>
      </c>
      <c r="J256" s="570">
        <f>Table1[[#This Row],[Date]]</f>
        <v>0</v>
      </c>
      <c r="K256" s="526"/>
      <c r="L256" s="526"/>
      <c r="AF256" s="499"/>
      <c r="AG256" s="499"/>
      <c r="AH256" s="499"/>
      <c r="AI256" s="499"/>
    </row>
    <row r="257" spans="1:35" s="584" customFormat="1">
      <c r="A257" s="569"/>
      <c r="B257" s="37">
        <v>255</v>
      </c>
      <c r="C257" s="570"/>
      <c r="F257" s="499"/>
      <c r="G257" s="571"/>
      <c r="H257" s="571"/>
      <c r="I257" s="581" t="str">
        <f>IF(Table1[[#This Row],[Staff]]="","",Table1[[#This Row],[Staff]])</f>
        <v/>
      </c>
      <c r="J257" s="570">
        <f>Table1[[#This Row],[Date]]</f>
        <v>0</v>
      </c>
      <c r="K257" s="526"/>
      <c r="L257" s="526"/>
      <c r="AF257" s="499"/>
      <c r="AG257" s="499"/>
      <c r="AH257" s="499"/>
      <c r="AI257" s="499"/>
    </row>
    <row r="258" spans="1:35" s="584" customFormat="1">
      <c r="A258" s="569"/>
      <c r="B258" s="37">
        <v>256</v>
      </c>
      <c r="C258" s="570"/>
      <c r="F258" s="499"/>
      <c r="G258" s="571"/>
      <c r="H258" s="571"/>
      <c r="I258" s="581" t="str">
        <f>IF(Table1[[#This Row],[Staff]]="","",Table1[[#This Row],[Staff]])</f>
        <v/>
      </c>
      <c r="J258" s="570">
        <f>Table1[[#This Row],[Date]]</f>
        <v>0</v>
      </c>
      <c r="K258" s="526"/>
      <c r="L258" s="526"/>
      <c r="AF258" s="499"/>
      <c r="AG258" s="499"/>
      <c r="AH258" s="499"/>
      <c r="AI258" s="499"/>
    </row>
    <row r="259" spans="1:35" s="584" customFormat="1">
      <c r="A259" s="569"/>
      <c r="B259" s="37">
        <v>257</v>
      </c>
      <c r="C259" s="570"/>
      <c r="F259" s="499"/>
      <c r="G259" s="571"/>
      <c r="H259" s="571"/>
      <c r="I259" s="581" t="str">
        <f>IF(Table1[[#This Row],[Staff]]="","",Table1[[#This Row],[Staff]])</f>
        <v/>
      </c>
      <c r="J259" s="570">
        <f>Table1[[#This Row],[Date]]</f>
        <v>0</v>
      </c>
      <c r="K259" s="526"/>
      <c r="L259" s="526"/>
      <c r="AF259" s="499"/>
      <c r="AG259" s="499"/>
      <c r="AH259" s="499"/>
      <c r="AI259" s="499"/>
    </row>
    <row r="260" spans="1:35" s="584" customFormat="1">
      <c r="A260" s="569"/>
      <c r="B260" s="37">
        <v>258</v>
      </c>
      <c r="C260" s="570"/>
      <c r="F260" s="499"/>
      <c r="G260" s="571"/>
      <c r="H260" s="571"/>
      <c r="I260" s="581" t="str">
        <f>IF(Table1[[#This Row],[Staff]]="","",Table1[[#This Row],[Staff]])</f>
        <v/>
      </c>
      <c r="J260" s="570">
        <f>Table1[[#This Row],[Date]]</f>
        <v>0</v>
      </c>
      <c r="K260" s="526"/>
      <c r="L260" s="526"/>
      <c r="AF260" s="499"/>
      <c r="AG260" s="499"/>
      <c r="AH260" s="499"/>
      <c r="AI260" s="499"/>
    </row>
    <row r="261" spans="1:35" s="584" customFormat="1">
      <c r="A261" s="569"/>
      <c r="B261" s="37">
        <v>259</v>
      </c>
      <c r="C261" s="570"/>
      <c r="F261" s="499"/>
      <c r="G261" s="571"/>
      <c r="H261" s="571"/>
      <c r="I261" s="581" t="str">
        <f>IF(Table1[[#This Row],[Staff]]="","",Table1[[#This Row],[Staff]])</f>
        <v/>
      </c>
      <c r="J261" s="570">
        <f>Table1[[#This Row],[Date]]</f>
        <v>0</v>
      </c>
      <c r="K261" s="526"/>
      <c r="L261" s="526"/>
      <c r="AF261" s="499"/>
      <c r="AG261" s="499"/>
      <c r="AH261" s="499"/>
      <c r="AI261" s="499"/>
    </row>
    <row r="262" spans="1:35" s="584" customFormat="1">
      <c r="A262" s="569"/>
      <c r="B262" s="37">
        <v>260</v>
      </c>
      <c r="C262" s="570"/>
      <c r="F262" s="499"/>
      <c r="G262" s="571"/>
      <c r="H262" s="571"/>
      <c r="I262" s="581" t="str">
        <f>IF(Table1[[#This Row],[Staff]]="","",Table1[[#This Row],[Staff]])</f>
        <v/>
      </c>
      <c r="J262" s="570">
        <f>Table1[[#This Row],[Date]]</f>
        <v>0</v>
      </c>
      <c r="K262" s="526"/>
      <c r="L262" s="526"/>
      <c r="AF262" s="499"/>
      <c r="AG262" s="499"/>
      <c r="AH262" s="499"/>
      <c r="AI262" s="499"/>
    </row>
    <row r="263" spans="1:35" s="584" customFormat="1">
      <c r="A263" s="569"/>
      <c r="B263" s="37">
        <v>261</v>
      </c>
      <c r="C263" s="570"/>
      <c r="F263" s="499"/>
      <c r="G263" s="571"/>
      <c r="H263" s="571"/>
      <c r="I263" s="581" t="str">
        <f>IF(Table1[[#This Row],[Staff]]="","",Table1[[#This Row],[Staff]])</f>
        <v/>
      </c>
      <c r="J263" s="570">
        <f>Table1[[#This Row],[Date]]</f>
        <v>0</v>
      </c>
      <c r="K263" s="526"/>
      <c r="L263" s="526"/>
      <c r="AF263" s="499"/>
      <c r="AG263" s="499"/>
      <c r="AH263" s="499"/>
      <c r="AI263" s="499"/>
    </row>
    <row r="264" spans="1:35" s="584" customFormat="1">
      <c r="A264" s="569"/>
      <c r="B264" s="37">
        <v>262</v>
      </c>
      <c r="C264" s="570"/>
      <c r="F264" s="499"/>
      <c r="G264" s="571"/>
      <c r="H264" s="571"/>
      <c r="I264" s="581" t="str">
        <f>IF(Table1[[#This Row],[Staff]]="","",Table1[[#This Row],[Staff]])</f>
        <v/>
      </c>
      <c r="J264" s="570">
        <f>Table1[[#This Row],[Date]]</f>
        <v>0</v>
      </c>
      <c r="K264" s="526"/>
      <c r="L264" s="526"/>
      <c r="AF264" s="499"/>
      <c r="AG264" s="499"/>
      <c r="AH264" s="499"/>
      <c r="AI264" s="499"/>
    </row>
    <row r="265" spans="1:35" s="584" customFormat="1">
      <c r="A265" s="569"/>
      <c r="B265" s="37">
        <v>263</v>
      </c>
      <c r="C265" s="570"/>
      <c r="F265" s="499"/>
      <c r="G265" s="571"/>
      <c r="H265" s="571"/>
      <c r="I265" s="581" t="str">
        <f>IF(Table1[[#This Row],[Staff]]="","",Table1[[#This Row],[Staff]])</f>
        <v/>
      </c>
      <c r="J265" s="570">
        <f>Table1[[#This Row],[Date]]</f>
        <v>0</v>
      </c>
      <c r="K265" s="526"/>
      <c r="L265" s="526"/>
      <c r="AF265" s="499"/>
      <c r="AG265" s="499"/>
      <c r="AH265" s="499"/>
      <c r="AI265" s="499"/>
    </row>
    <row r="266" spans="1:35" s="584" customFormat="1">
      <c r="A266" s="569"/>
      <c r="B266" s="37">
        <v>264</v>
      </c>
      <c r="C266" s="570"/>
      <c r="F266" s="499"/>
      <c r="G266" s="571"/>
      <c r="H266" s="571"/>
      <c r="I266" s="581" t="str">
        <f>IF(Table1[[#This Row],[Staff]]="","",Table1[[#This Row],[Staff]])</f>
        <v/>
      </c>
      <c r="J266" s="570">
        <f>Table1[[#This Row],[Date]]</f>
        <v>0</v>
      </c>
      <c r="K266" s="526"/>
      <c r="L266" s="526"/>
      <c r="AF266" s="499"/>
      <c r="AG266" s="499"/>
      <c r="AH266" s="499"/>
      <c r="AI266" s="499"/>
    </row>
    <row r="267" spans="1:35" s="584" customFormat="1">
      <c r="A267" s="569"/>
      <c r="B267" s="37">
        <v>265</v>
      </c>
      <c r="C267" s="570"/>
      <c r="F267" s="499"/>
      <c r="G267" s="571"/>
      <c r="H267" s="571"/>
      <c r="I267" s="581" t="str">
        <f>IF(Table1[[#This Row],[Staff]]="","",Table1[[#This Row],[Staff]])</f>
        <v/>
      </c>
      <c r="J267" s="570">
        <f>Table1[[#This Row],[Date]]</f>
        <v>0</v>
      </c>
      <c r="K267" s="526"/>
      <c r="L267" s="526"/>
      <c r="AF267" s="499"/>
      <c r="AG267" s="499"/>
      <c r="AH267" s="499"/>
      <c r="AI267" s="499"/>
    </row>
    <row r="268" spans="1:35" s="584" customFormat="1">
      <c r="A268" s="569"/>
      <c r="B268" s="37">
        <v>266</v>
      </c>
      <c r="C268" s="570"/>
      <c r="F268" s="499"/>
      <c r="G268" s="571"/>
      <c r="H268" s="571"/>
      <c r="I268" s="581" t="str">
        <f>IF(Table1[[#This Row],[Staff]]="","",Table1[[#This Row],[Staff]])</f>
        <v/>
      </c>
      <c r="J268" s="570">
        <f>Table1[[#This Row],[Date]]</f>
        <v>0</v>
      </c>
      <c r="K268" s="526"/>
      <c r="L268" s="526"/>
      <c r="AF268" s="499"/>
      <c r="AG268" s="499"/>
      <c r="AH268" s="499"/>
      <c r="AI268" s="499"/>
    </row>
    <row r="269" spans="1:35" s="584" customFormat="1">
      <c r="A269" s="569"/>
      <c r="B269" s="37">
        <v>267</v>
      </c>
      <c r="C269" s="570"/>
      <c r="F269" s="499"/>
      <c r="G269" s="571"/>
      <c r="H269" s="571"/>
      <c r="I269" s="581" t="str">
        <f>IF(Table1[[#This Row],[Staff]]="","",Table1[[#This Row],[Staff]])</f>
        <v/>
      </c>
      <c r="J269" s="570">
        <f>Table1[[#This Row],[Date]]</f>
        <v>0</v>
      </c>
      <c r="K269" s="526"/>
      <c r="L269" s="526"/>
      <c r="AF269" s="499"/>
      <c r="AG269" s="499"/>
      <c r="AH269" s="499"/>
      <c r="AI269" s="499"/>
    </row>
    <row r="270" spans="1:35" s="584" customFormat="1">
      <c r="A270" s="569"/>
      <c r="B270" s="37">
        <v>268</v>
      </c>
      <c r="C270" s="570"/>
      <c r="F270" s="499"/>
      <c r="G270" s="571"/>
      <c r="H270" s="571"/>
      <c r="I270" s="581" t="str">
        <f>IF(Table1[[#This Row],[Staff]]="","",Table1[[#This Row],[Staff]])</f>
        <v/>
      </c>
      <c r="J270" s="570">
        <f>Table1[[#This Row],[Date]]</f>
        <v>0</v>
      </c>
      <c r="K270" s="526"/>
      <c r="L270" s="526"/>
      <c r="AF270" s="499"/>
      <c r="AG270" s="499"/>
      <c r="AH270" s="499"/>
      <c r="AI270" s="499"/>
    </row>
    <row r="271" spans="1:35" s="584" customFormat="1">
      <c r="A271" s="569"/>
      <c r="B271" s="37">
        <v>269</v>
      </c>
      <c r="C271" s="570"/>
      <c r="F271" s="499"/>
      <c r="G271" s="571"/>
      <c r="H271" s="571"/>
      <c r="I271" s="581" t="str">
        <f>IF(Table1[[#This Row],[Staff]]="","",Table1[[#This Row],[Staff]])</f>
        <v/>
      </c>
      <c r="J271" s="570">
        <f>Table1[[#This Row],[Date]]</f>
        <v>0</v>
      </c>
      <c r="K271" s="526"/>
      <c r="L271" s="526"/>
      <c r="AF271" s="499"/>
      <c r="AG271" s="499"/>
      <c r="AH271" s="499"/>
      <c r="AI271" s="499"/>
    </row>
    <row r="272" spans="1:35" s="584" customFormat="1">
      <c r="A272" s="569"/>
      <c r="B272" s="37">
        <v>270</v>
      </c>
      <c r="C272" s="570"/>
      <c r="F272" s="499"/>
      <c r="G272" s="571"/>
      <c r="H272" s="571"/>
      <c r="I272" s="581" t="str">
        <f>IF(Table1[[#This Row],[Staff]]="","",Table1[[#This Row],[Staff]])</f>
        <v/>
      </c>
      <c r="J272" s="570">
        <f>Table1[[#This Row],[Date]]</f>
        <v>0</v>
      </c>
      <c r="K272" s="526"/>
      <c r="L272" s="526"/>
      <c r="AF272" s="499"/>
      <c r="AG272" s="499"/>
      <c r="AH272" s="499"/>
      <c r="AI272" s="499"/>
    </row>
    <row r="273" spans="1:35" s="584" customFormat="1">
      <c r="A273" s="569"/>
      <c r="B273" s="37">
        <v>271</v>
      </c>
      <c r="C273" s="570"/>
      <c r="F273" s="499"/>
      <c r="G273" s="571"/>
      <c r="H273" s="571"/>
      <c r="I273" s="581" t="str">
        <f>IF(Table1[[#This Row],[Staff]]="","",Table1[[#This Row],[Staff]])</f>
        <v/>
      </c>
      <c r="J273" s="570">
        <f>Table1[[#This Row],[Date]]</f>
        <v>0</v>
      </c>
      <c r="K273" s="526"/>
      <c r="L273" s="526"/>
      <c r="AF273" s="499"/>
      <c r="AG273" s="499"/>
      <c r="AH273" s="499"/>
      <c r="AI273" s="499"/>
    </row>
    <row r="274" spans="1:35" s="584" customFormat="1">
      <c r="A274" s="569"/>
      <c r="B274" s="37">
        <v>272</v>
      </c>
      <c r="C274" s="570"/>
      <c r="F274" s="499"/>
      <c r="G274" s="571"/>
      <c r="H274" s="571"/>
      <c r="I274" s="581" t="str">
        <f>IF(Table1[[#This Row],[Staff]]="","",Table1[[#This Row],[Staff]])</f>
        <v/>
      </c>
      <c r="J274" s="570">
        <f>Table1[[#This Row],[Date]]</f>
        <v>0</v>
      </c>
      <c r="K274" s="526"/>
      <c r="L274" s="526"/>
      <c r="AF274" s="499"/>
      <c r="AG274" s="499"/>
      <c r="AH274" s="499"/>
      <c r="AI274" s="499"/>
    </row>
    <row r="275" spans="1:35" s="584" customFormat="1">
      <c r="A275" s="569"/>
      <c r="B275" s="37">
        <v>273</v>
      </c>
      <c r="C275" s="570"/>
      <c r="F275" s="499"/>
      <c r="G275" s="571"/>
      <c r="H275" s="571"/>
      <c r="I275" s="581" t="str">
        <f>IF(Table1[[#This Row],[Staff]]="","",Table1[[#This Row],[Staff]])</f>
        <v/>
      </c>
      <c r="J275" s="570">
        <f>Table1[[#This Row],[Date]]</f>
        <v>0</v>
      </c>
      <c r="K275" s="526"/>
      <c r="L275" s="526"/>
      <c r="AF275" s="499"/>
      <c r="AG275" s="499"/>
      <c r="AH275" s="499"/>
      <c r="AI275" s="499"/>
    </row>
    <row r="276" spans="1:35" s="584" customFormat="1">
      <c r="A276" s="569"/>
      <c r="B276" s="37">
        <v>274</v>
      </c>
      <c r="C276" s="570"/>
      <c r="F276" s="499"/>
      <c r="G276" s="571"/>
      <c r="H276" s="571"/>
      <c r="I276" s="581" t="str">
        <f>IF(Table1[[#This Row],[Staff]]="","",Table1[[#This Row],[Staff]])</f>
        <v/>
      </c>
      <c r="J276" s="570">
        <f>Table1[[#This Row],[Date]]</f>
        <v>0</v>
      </c>
      <c r="K276" s="526"/>
      <c r="L276" s="526"/>
      <c r="AF276" s="499"/>
      <c r="AG276" s="499"/>
      <c r="AH276" s="499"/>
      <c r="AI276" s="499"/>
    </row>
    <row r="277" spans="1:35" s="584" customFormat="1">
      <c r="A277" s="569"/>
      <c r="B277" s="37">
        <v>275</v>
      </c>
      <c r="C277" s="570"/>
      <c r="F277" s="499"/>
      <c r="G277" s="571"/>
      <c r="H277" s="571"/>
      <c r="I277" s="581" t="str">
        <f>IF(Table1[[#This Row],[Staff]]="","",Table1[[#This Row],[Staff]])</f>
        <v/>
      </c>
      <c r="J277" s="570">
        <f>Table1[[#This Row],[Date]]</f>
        <v>0</v>
      </c>
      <c r="K277" s="526"/>
      <c r="L277" s="526"/>
      <c r="AF277" s="499"/>
      <c r="AG277" s="499"/>
      <c r="AH277" s="499"/>
      <c r="AI277" s="499"/>
    </row>
    <row r="278" spans="1:35" s="584" customFormat="1">
      <c r="A278" s="569"/>
      <c r="B278" s="37">
        <v>276</v>
      </c>
      <c r="C278" s="570"/>
      <c r="F278" s="499"/>
      <c r="G278" s="571"/>
      <c r="H278" s="571"/>
      <c r="I278" s="581" t="str">
        <f>IF(Table1[[#This Row],[Staff]]="","",Table1[[#This Row],[Staff]])</f>
        <v/>
      </c>
      <c r="J278" s="570">
        <f>Table1[[#This Row],[Date]]</f>
        <v>0</v>
      </c>
      <c r="K278" s="526"/>
      <c r="L278" s="526"/>
      <c r="AF278" s="499"/>
      <c r="AG278" s="499"/>
      <c r="AH278" s="499"/>
      <c r="AI278" s="499"/>
    </row>
    <row r="279" spans="1:35" s="584" customFormat="1">
      <c r="A279" s="569"/>
      <c r="B279" s="37">
        <v>277</v>
      </c>
      <c r="C279" s="570"/>
      <c r="F279" s="499"/>
      <c r="G279" s="571"/>
      <c r="H279" s="571"/>
      <c r="I279" s="581" t="str">
        <f>IF(Table1[[#This Row],[Staff]]="","",Table1[[#This Row],[Staff]])</f>
        <v/>
      </c>
      <c r="J279" s="570">
        <f>Table1[[#This Row],[Date]]</f>
        <v>0</v>
      </c>
      <c r="K279" s="526"/>
      <c r="L279" s="526"/>
      <c r="AF279" s="499"/>
      <c r="AG279" s="499"/>
      <c r="AH279" s="499"/>
      <c r="AI279" s="499"/>
    </row>
    <row r="280" spans="1:35" s="584" customFormat="1">
      <c r="A280" s="569"/>
      <c r="B280" s="37">
        <v>278</v>
      </c>
      <c r="C280" s="570"/>
      <c r="F280" s="499"/>
      <c r="G280" s="571"/>
      <c r="H280" s="571"/>
      <c r="I280" s="581" t="str">
        <f>IF(Table1[[#This Row],[Staff]]="","",Table1[[#This Row],[Staff]])</f>
        <v/>
      </c>
      <c r="J280" s="570">
        <f>Table1[[#This Row],[Date]]</f>
        <v>0</v>
      </c>
      <c r="K280" s="526"/>
      <c r="L280" s="526"/>
      <c r="AF280" s="499"/>
      <c r="AG280" s="499"/>
      <c r="AH280" s="499"/>
      <c r="AI280" s="499"/>
    </row>
    <row r="281" spans="1:35" s="584" customFormat="1">
      <c r="A281" s="569"/>
      <c r="B281" s="37">
        <v>279</v>
      </c>
      <c r="C281" s="570"/>
      <c r="F281" s="499"/>
      <c r="G281" s="571"/>
      <c r="H281" s="571"/>
      <c r="I281" s="581" t="str">
        <f>IF(Table1[[#This Row],[Staff]]="","",Table1[[#This Row],[Staff]])</f>
        <v/>
      </c>
      <c r="J281" s="570">
        <f>Table1[[#This Row],[Date]]</f>
        <v>0</v>
      </c>
      <c r="K281" s="526"/>
      <c r="L281" s="526"/>
      <c r="AF281" s="499"/>
      <c r="AG281" s="499"/>
      <c r="AH281" s="499"/>
      <c r="AI281" s="499"/>
    </row>
    <row r="282" spans="1:35" s="584" customFormat="1">
      <c r="A282" s="569"/>
      <c r="B282" s="37">
        <v>280</v>
      </c>
      <c r="C282" s="570"/>
      <c r="F282" s="499"/>
      <c r="G282" s="571"/>
      <c r="H282" s="571"/>
      <c r="I282" s="581" t="str">
        <f>IF(Table1[[#This Row],[Staff]]="","",Table1[[#This Row],[Staff]])</f>
        <v/>
      </c>
      <c r="J282" s="570">
        <f>Table1[[#This Row],[Date]]</f>
        <v>0</v>
      </c>
      <c r="K282" s="526"/>
      <c r="L282" s="526"/>
      <c r="AF282" s="499"/>
      <c r="AG282" s="499"/>
      <c r="AH282" s="499"/>
      <c r="AI282" s="499"/>
    </row>
    <row r="283" spans="1:35" s="584" customFormat="1">
      <c r="A283" s="569"/>
      <c r="B283" s="37">
        <v>281</v>
      </c>
      <c r="C283" s="570"/>
      <c r="F283" s="499"/>
      <c r="G283" s="571"/>
      <c r="H283" s="571"/>
      <c r="I283" s="581" t="str">
        <f>IF(Table1[[#This Row],[Staff]]="","",Table1[[#This Row],[Staff]])</f>
        <v/>
      </c>
      <c r="J283" s="570">
        <f>Table1[[#This Row],[Date]]</f>
        <v>0</v>
      </c>
      <c r="K283" s="526"/>
      <c r="L283" s="526"/>
      <c r="AF283" s="499"/>
      <c r="AG283" s="499"/>
      <c r="AH283" s="499"/>
      <c r="AI283" s="499"/>
    </row>
    <row r="284" spans="1:35" s="584" customFormat="1">
      <c r="A284" s="569"/>
      <c r="B284" s="37">
        <v>282</v>
      </c>
      <c r="C284" s="570"/>
      <c r="F284" s="499"/>
      <c r="G284" s="571"/>
      <c r="H284" s="571"/>
      <c r="I284" s="581" t="str">
        <f>IF(Table1[[#This Row],[Staff]]="","",Table1[[#This Row],[Staff]])</f>
        <v/>
      </c>
      <c r="J284" s="570">
        <f>Table1[[#This Row],[Date]]</f>
        <v>0</v>
      </c>
      <c r="K284" s="526"/>
      <c r="L284" s="526"/>
      <c r="AF284" s="499"/>
      <c r="AG284" s="499"/>
      <c r="AH284" s="499"/>
      <c r="AI284" s="499"/>
    </row>
    <row r="285" spans="1:35" s="584" customFormat="1">
      <c r="A285" s="569"/>
      <c r="B285" s="37">
        <v>283</v>
      </c>
      <c r="C285" s="570"/>
      <c r="F285" s="499"/>
      <c r="G285" s="571"/>
      <c r="H285" s="571"/>
      <c r="I285" s="581" t="str">
        <f>IF(Table1[[#This Row],[Staff]]="","",Table1[[#This Row],[Staff]])</f>
        <v/>
      </c>
      <c r="J285" s="570">
        <f>Table1[[#This Row],[Date]]</f>
        <v>0</v>
      </c>
      <c r="K285" s="526"/>
      <c r="L285" s="526"/>
      <c r="AF285" s="499"/>
      <c r="AG285" s="499"/>
      <c r="AH285" s="499"/>
      <c r="AI285" s="499"/>
    </row>
    <row r="286" spans="1:35" s="584" customFormat="1">
      <c r="A286" s="569"/>
      <c r="B286" s="37">
        <v>284</v>
      </c>
      <c r="C286" s="570"/>
      <c r="F286" s="499"/>
      <c r="G286" s="571"/>
      <c r="H286" s="571"/>
      <c r="I286" s="581" t="str">
        <f>IF(Table1[[#This Row],[Staff]]="","",Table1[[#This Row],[Staff]])</f>
        <v/>
      </c>
      <c r="J286" s="570">
        <f>Table1[[#This Row],[Date]]</f>
        <v>0</v>
      </c>
      <c r="K286" s="526"/>
      <c r="L286" s="526"/>
      <c r="AF286" s="499"/>
      <c r="AG286" s="499"/>
      <c r="AH286" s="499"/>
      <c r="AI286" s="499"/>
    </row>
    <row r="287" spans="1:35" s="584" customFormat="1">
      <c r="A287" s="569"/>
      <c r="B287" s="37">
        <v>285</v>
      </c>
      <c r="C287" s="570"/>
      <c r="F287" s="499"/>
      <c r="G287" s="571"/>
      <c r="H287" s="571"/>
      <c r="I287" s="581" t="str">
        <f>IF(Table1[[#This Row],[Staff]]="","",Table1[[#This Row],[Staff]])</f>
        <v/>
      </c>
      <c r="J287" s="570">
        <f>Table1[[#This Row],[Date]]</f>
        <v>0</v>
      </c>
      <c r="K287" s="526"/>
      <c r="L287" s="526"/>
      <c r="AF287" s="499"/>
      <c r="AG287" s="499"/>
      <c r="AH287" s="499"/>
      <c r="AI287" s="499"/>
    </row>
    <row r="288" spans="1:35" s="584" customFormat="1">
      <c r="A288" s="569"/>
      <c r="B288" s="37">
        <v>286</v>
      </c>
      <c r="C288" s="570"/>
      <c r="F288" s="499"/>
      <c r="G288" s="571"/>
      <c r="H288" s="571"/>
      <c r="I288" s="581" t="str">
        <f>IF(Table1[[#This Row],[Staff]]="","",Table1[[#This Row],[Staff]])</f>
        <v/>
      </c>
      <c r="J288" s="570">
        <f>Table1[[#This Row],[Date]]</f>
        <v>0</v>
      </c>
      <c r="K288" s="526"/>
      <c r="L288" s="526"/>
      <c r="AF288" s="499"/>
      <c r="AG288" s="499"/>
      <c r="AH288" s="499"/>
      <c r="AI288" s="499"/>
    </row>
    <row r="289" spans="1:35" s="584" customFormat="1">
      <c r="A289" s="569"/>
      <c r="B289" s="37">
        <v>287</v>
      </c>
      <c r="C289" s="570"/>
      <c r="F289" s="499"/>
      <c r="G289" s="571"/>
      <c r="H289" s="571"/>
      <c r="I289" s="581" t="str">
        <f>IF(Table1[[#This Row],[Staff]]="","",Table1[[#This Row],[Staff]])</f>
        <v/>
      </c>
      <c r="J289" s="570">
        <f>Table1[[#This Row],[Date]]</f>
        <v>0</v>
      </c>
      <c r="K289" s="526"/>
      <c r="L289" s="526"/>
      <c r="AF289" s="499"/>
      <c r="AG289" s="499"/>
      <c r="AH289" s="499"/>
      <c r="AI289" s="499"/>
    </row>
    <row r="290" spans="1:35" s="584" customFormat="1">
      <c r="A290" s="569"/>
      <c r="B290" s="37">
        <v>288</v>
      </c>
      <c r="C290" s="570"/>
      <c r="F290" s="499"/>
      <c r="G290" s="571"/>
      <c r="H290" s="571"/>
      <c r="I290" s="581" t="str">
        <f>IF(Table1[[#This Row],[Staff]]="","",Table1[[#This Row],[Staff]])</f>
        <v/>
      </c>
      <c r="J290" s="570">
        <f>Table1[[#This Row],[Date]]</f>
        <v>0</v>
      </c>
      <c r="K290" s="526"/>
      <c r="L290" s="526"/>
      <c r="AF290" s="499"/>
      <c r="AG290" s="499"/>
      <c r="AH290" s="499"/>
      <c r="AI290" s="499"/>
    </row>
    <row r="291" spans="1:35" s="584" customFormat="1">
      <c r="A291" s="569"/>
      <c r="B291" s="37">
        <v>289</v>
      </c>
      <c r="C291" s="570"/>
      <c r="F291" s="499"/>
      <c r="G291" s="571"/>
      <c r="H291" s="571"/>
      <c r="I291" s="581" t="str">
        <f>IF(Table1[[#This Row],[Staff]]="","",Table1[[#This Row],[Staff]])</f>
        <v/>
      </c>
      <c r="J291" s="570">
        <f>Table1[[#This Row],[Date]]</f>
        <v>0</v>
      </c>
      <c r="K291" s="526"/>
      <c r="L291" s="526"/>
      <c r="AF291" s="499"/>
      <c r="AG291" s="499"/>
      <c r="AH291" s="499"/>
      <c r="AI291" s="499"/>
    </row>
    <row r="292" spans="1:35" s="584" customFormat="1">
      <c r="A292" s="569"/>
      <c r="B292" s="37">
        <v>290</v>
      </c>
      <c r="C292" s="570"/>
      <c r="F292" s="499"/>
      <c r="G292" s="571"/>
      <c r="H292" s="571"/>
      <c r="I292" s="581" t="str">
        <f>IF(Table1[[#This Row],[Staff]]="","",Table1[[#This Row],[Staff]])</f>
        <v/>
      </c>
      <c r="J292" s="570">
        <f>Table1[[#This Row],[Date]]</f>
        <v>0</v>
      </c>
      <c r="K292" s="526"/>
      <c r="L292" s="526"/>
      <c r="AF292" s="499"/>
      <c r="AG292" s="499"/>
      <c r="AH292" s="499"/>
      <c r="AI292" s="499"/>
    </row>
    <row r="293" spans="1:35" s="584" customFormat="1">
      <c r="A293" s="569"/>
      <c r="B293" s="37">
        <v>291</v>
      </c>
      <c r="C293" s="570"/>
      <c r="F293" s="499"/>
      <c r="G293" s="571"/>
      <c r="H293" s="571"/>
      <c r="I293" s="581" t="str">
        <f>IF(Table1[[#This Row],[Staff]]="","",Table1[[#This Row],[Staff]])</f>
        <v/>
      </c>
      <c r="J293" s="570">
        <f>Table1[[#This Row],[Date]]</f>
        <v>0</v>
      </c>
      <c r="K293" s="526"/>
      <c r="L293" s="526"/>
      <c r="AF293" s="499"/>
      <c r="AG293" s="499"/>
      <c r="AH293" s="499"/>
      <c r="AI293" s="499"/>
    </row>
    <row r="294" spans="1:35" s="584" customFormat="1">
      <c r="A294" s="569"/>
      <c r="B294" s="37">
        <v>292</v>
      </c>
      <c r="C294" s="570"/>
      <c r="F294" s="499"/>
      <c r="G294" s="571"/>
      <c r="H294" s="571"/>
      <c r="I294" s="581" t="str">
        <f>IF(Table1[[#This Row],[Staff]]="","",Table1[[#This Row],[Staff]])</f>
        <v/>
      </c>
      <c r="J294" s="570">
        <f>Table1[[#This Row],[Date]]</f>
        <v>0</v>
      </c>
      <c r="K294" s="526"/>
      <c r="L294" s="526"/>
      <c r="AF294" s="499"/>
      <c r="AG294" s="499"/>
      <c r="AH294" s="499"/>
      <c r="AI294" s="499"/>
    </row>
    <row r="295" spans="1:35" s="584" customFormat="1">
      <c r="A295" s="569"/>
      <c r="B295" s="37">
        <v>293</v>
      </c>
      <c r="C295" s="570"/>
      <c r="F295" s="499"/>
      <c r="G295" s="571"/>
      <c r="H295" s="571"/>
      <c r="I295" s="581" t="str">
        <f>IF(Table1[[#This Row],[Staff]]="","",Table1[[#This Row],[Staff]])</f>
        <v/>
      </c>
      <c r="J295" s="570">
        <f>Table1[[#This Row],[Date]]</f>
        <v>0</v>
      </c>
      <c r="K295" s="526"/>
      <c r="L295" s="526"/>
      <c r="AF295" s="499"/>
      <c r="AG295" s="499"/>
      <c r="AH295" s="499"/>
      <c r="AI295" s="499"/>
    </row>
    <row r="296" spans="1:35" s="584" customFormat="1">
      <c r="A296" s="569"/>
      <c r="B296" s="37">
        <v>294</v>
      </c>
      <c r="C296" s="570"/>
      <c r="F296" s="499"/>
      <c r="G296" s="571"/>
      <c r="H296" s="571"/>
      <c r="I296" s="581" t="str">
        <f>IF(Table1[[#This Row],[Staff]]="","",Table1[[#This Row],[Staff]])</f>
        <v/>
      </c>
      <c r="J296" s="570">
        <f>Table1[[#This Row],[Date]]</f>
        <v>0</v>
      </c>
      <c r="K296" s="526"/>
      <c r="L296" s="526"/>
      <c r="AF296" s="499"/>
      <c r="AG296" s="499"/>
      <c r="AH296" s="499"/>
      <c r="AI296" s="499"/>
    </row>
    <row r="297" spans="1:35" s="584" customFormat="1">
      <c r="A297" s="569"/>
      <c r="B297" s="37">
        <v>295</v>
      </c>
      <c r="C297" s="570"/>
      <c r="F297" s="499"/>
      <c r="G297" s="571"/>
      <c r="H297" s="571"/>
      <c r="I297" s="581" t="str">
        <f>IF(Table1[[#This Row],[Staff]]="","",Table1[[#This Row],[Staff]])</f>
        <v/>
      </c>
      <c r="J297" s="570">
        <f>Table1[[#This Row],[Date]]</f>
        <v>0</v>
      </c>
      <c r="K297" s="526"/>
      <c r="L297" s="526"/>
      <c r="AF297" s="499"/>
      <c r="AG297" s="499"/>
      <c r="AH297" s="499"/>
      <c r="AI297" s="499"/>
    </row>
    <row r="298" spans="1:35" s="584" customFormat="1">
      <c r="A298" s="569"/>
      <c r="B298" s="37">
        <v>296</v>
      </c>
      <c r="C298" s="570"/>
      <c r="F298" s="499"/>
      <c r="G298" s="571"/>
      <c r="H298" s="571"/>
      <c r="I298" s="581" t="str">
        <f>IF(Table1[[#This Row],[Staff]]="","",Table1[[#This Row],[Staff]])</f>
        <v/>
      </c>
      <c r="J298" s="570">
        <f>Table1[[#This Row],[Date]]</f>
        <v>0</v>
      </c>
      <c r="K298" s="526"/>
      <c r="L298" s="526"/>
      <c r="AF298" s="499"/>
      <c r="AG298" s="499"/>
      <c r="AH298" s="499"/>
      <c r="AI298" s="499"/>
    </row>
    <row r="299" spans="1:35" s="584" customFormat="1">
      <c r="A299" s="569"/>
      <c r="B299" s="37">
        <v>297</v>
      </c>
      <c r="C299" s="570"/>
      <c r="F299" s="499"/>
      <c r="G299" s="571"/>
      <c r="H299" s="571"/>
      <c r="I299" s="581" t="str">
        <f>IF(Table1[[#This Row],[Staff]]="","",Table1[[#This Row],[Staff]])</f>
        <v/>
      </c>
      <c r="J299" s="570">
        <f>Table1[[#This Row],[Date]]</f>
        <v>0</v>
      </c>
      <c r="K299" s="526"/>
      <c r="L299" s="526"/>
      <c r="AF299" s="499"/>
      <c r="AG299" s="499"/>
      <c r="AH299" s="499"/>
      <c r="AI299" s="499"/>
    </row>
    <row r="300" spans="1:35" s="584" customFormat="1">
      <c r="A300" s="569"/>
      <c r="B300" s="37">
        <v>298</v>
      </c>
      <c r="C300" s="570"/>
      <c r="F300" s="499"/>
      <c r="G300" s="571"/>
      <c r="H300" s="571"/>
      <c r="I300" s="581" t="str">
        <f>IF(Table1[[#This Row],[Staff]]="","",Table1[[#This Row],[Staff]])</f>
        <v/>
      </c>
      <c r="J300" s="570">
        <f>Table1[[#This Row],[Date]]</f>
        <v>0</v>
      </c>
      <c r="K300" s="526"/>
      <c r="L300" s="526"/>
      <c r="AF300" s="499"/>
      <c r="AG300" s="499"/>
      <c r="AH300" s="499"/>
      <c r="AI300" s="499"/>
    </row>
    <row r="301" spans="1:35" s="584" customFormat="1">
      <c r="A301" s="569"/>
      <c r="B301" s="37">
        <v>299</v>
      </c>
      <c r="C301" s="570"/>
      <c r="F301" s="499"/>
      <c r="G301" s="571"/>
      <c r="H301" s="571"/>
      <c r="I301" s="581" t="str">
        <f>IF(Table1[[#This Row],[Staff]]="","",Table1[[#This Row],[Staff]])</f>
        <v/>
      </c>
      <c r="J301" s="570">
        <f>Table1[[#This Row],[Date]]</f>
        <v>0</v>
      </c>
      <c r="K301" s="526"/>
      <c r="L301" s="526"/>
      <c r="AF301" s="499"/>
      <c r="AG301" s="499"/>
      <c r="AH301" s="499"/>
      <c r="AI301" s="499"/>
    </row>
    <row r="302" spans="1:35" s="584" customFormat="1">
      <c r="A302" s="569"/>
      <c r="B302" s="37">
        <v>300</v>
      </c>
      <c r="C302" s="570"/>
      <c r="F302" s="499"/>
      <c r="G302" s="571"/>
      <c r="H302" s="571"/>
      <c r="I302" s="581" t="str">
        <f>IF(Table1[[#This Row],[Staff]]="","",Table1[[#This Row],[Staff]])</f>
        <v/>
      </c>
      <c r="J302" s="570">
        <f>Table1[[#This Row],[Date]]</f>
        <v>0</v>
      </c>
      <c r="K302" s="526"/>
      <c r="L302" s="526"/>
      <c r="AF302" s="499"/>
      <c r="AG302" s="499"/>
      <c r="AH302" s="499"/>
      <c r="AI302" s="499"/>
    </row>
    <row r="303" spans="1:35" s="584" customFormat="1">
      <c r="A303" s="569"/>
      <c r="B303" s="37">
        <v>301</v>
      </c>
      <c r="C303" s="570"/>
      <c r="F303" s="499"/>
      <c r="G303" s="571"/>
      <c r="H303" s="571"/>
      <c r="I303" s="581" t="str">
        <f>IF(Table1[[#This Row],[Staff]]="","",Table1[[#This Row],[Staff]])</f>
        <v/>
      </c>
      <c r="J303" s="570">
        <f>Table1[[#This Row],[Date]]</f>
        <v>0</v>
      </c>
      <c r="K303" s="526"/>
      <c r="L303" s="526"/>
      <c r="AF303" s="499"/>
      <c r="AG303" s="499"/>
      <c r="AH303" s="499"/>
      <c r="AI303" s="499"/>
    </row>
    <row r="304" spans="1:35" s="584" customFormat="1">
      <c r="A304" s="569"/>
      <c r="B304" s="37">
        <v>302</v>
      </c>
      <c r="C304" s="570"/>
      <c r="F304" s="499"/>
      <c r="G304" s="571"/>
      <c r="H304" s="571"/>
      <c r="I304" s="581" t="str">
        <f>IF(Table1[[#This Row],[Staff]]="","",Table1[[#This Row],[Staff]])</f>
        <v/>
      </c>
      <c r="J304" s="570">
        <f>Table1[[#This Row],[Date]]</f>
        <v>0</v>
      </c>
      <c r="K304" s="526"/>
      <c r="L304" s="526"/>
      <c r="AF304" s="499"/>
      <c r="AG304" s="499"/>
      <c r="AH304" s="499"/>
      <c r="AI304" s="499"/>
    </row>
    <row r="305" spans="1:35" s="584" customFormat="1">
      <c r="A305" s="569"/>
      <c r="B305" s="37">
        <v>303</v>
      </c>
      <c r="C305" s="570"/>
      <c r="F305" s="499"/>
      <c r="G305" s="571"/>
      <c r="H305" s="571"/>
      <c r="I305" s="581" t="str">
        <f>IF(Table1[[#This Row],[Staff]]="","",Table1[[#This Row],[Staff]])</f>
        <v/>
      </c>
      <c r="J305" s="570">
        <f>Table1[[#This Row],[Date]]</f>
        <v>0</v>
      </c>
      <c r="K305" s="526"/>
      <c r="L305" s="526"/>
      <c r="AF305" s="499"/>
      <c r="AG305" s="499"/>
      <c r="AH305" s="499"/>
      <c r="AI305" s="499"/>
    </row>
    <row r="306" spans="1:35" s="584" customFormat="1">
      <c r="A306" s="569"/>
      <c r="B306" s="37">
        <v>304</v>
      </c>
      <c r="C306" s="570"/>
      <c r="F306" s="499"/>
      <c r="G306" s="571"/>
      <c r="H306" s="571"/>
      <c r="I306" s="581" t="str">
        <f>IF(Table1[[#This Row],[Staff]]="","",Table1[[#This Row],[Staff]])</f>
        <v/>
      </c>
      <c r="J306" s="570">
        <f>Table1[[#This Row],[Date]]</f>
        <v>0</v>
      </c>
      <c r="K306" s="526"/>
      <c r="L306" s="526"/>
      <c r="AF306" s="499"/>
      <c r="AG306" s="499"/>
      <c r="AH306" s="499"/>
      <c r="AI306" s="499"/>
    </row>
    <row r="307" spans="1:35" s="584" customFormat="1">
      <c r="A307" s="569"/>
      <c r="B307" s="37">
        <v>305</v>
      </c>
      <c r="C307" s="570"/>
      <c r="F307" s="499"/>
      <c r="G307" s="571"/>
      <c r="H307" s="571"/>
      <c r="I307" s="581" t="str">
        <f>IF(Table1[[#This Row],[Staff]]="","",Table1[[#This Row],[Staff]])</f>
        <v/>
      </c>
      <c r="J307" s="570">
        <f>Table1[[#This Row],[Date]]</f>
        <v>0</v>
      </c>
      <c r="K307" s="526"/>
      <c r="L307" s="526"/>
      <c r="AF307" s="499"/>
      <c r="AG307" s="499"/>
      <c r="AH307" s="499"/>
      <c r="AI307" s="499"/>
    </row>
    <row r="308" spans="1:35" s="584" customFormat="1">
      <c r="A308" s="569"/>
      <c r="B308" s="37">
        <v>306</v>
      </c>
      <c r="C308" s="570"/>
      <c r="F308" s="499"/>
      <c r="G308" s="571"/>
      <c r="H308" s="571"/>
      <c r="I308" s="581" t="str">
        <f>IF(Table1[[#This Row],[Staff]]="","",Table1[[#This Row],[Staff]])</f>
        <v/>
      </c>
      <c r="J308" s="570">
        <f>Table1[[#This Row],[Date]]</f>
        <v>0</v>
      </c>
      <c r="K308" s="526"/>
      <c r="L308" s="526"/>
      <c r="AF308" s="499"/>
      <c r="AG308" s="499"/>
      <c r="AH308" s="499"/>
      <c r="AI308" s="499"/>
    </row>
    <row r="309" spans="1:35" s="584" customFormat="1">
      <c r="A309" s="569"/>
      <c r="B309" s="37">
        <v>307</v>
      </c>
      <c r="C309" s="570"/>
      <c r="F309" s="499"/>
      <c r="G309" s="571"/>
      <c r="H309" s="571"/>
      <c r="I309" s="581" t="str">
        <f>IF(Table1[[#This Row],[Staff]]="","",Table1[[#This Row],[Staff]])</f>
        <v/>
      </c>
      <c r="J309" s="570">
        <f>Table1[[#This Row],[Date]]</f>
        <v>0</v>
      </c>
      <c r="K309" s="526"/>
      <c r="L309" s="526"/>
      <c r="AF309" s="499"/>
      <c r="AG309" s="499"/>
      <c r="AH309" s="499"/>
      <c r="AI309" s="499"/>
    </row>
    <row r="310" spans="1:35" s="584" customFormat="1">
      <c r="A310" s="569"/>
      <c r="B310" s="37">
        <v>308</v>
      </c>
      <c r="C310" s="570"/>
      <c r="F310" s="499"/>
      <c r="G310" s="571"/>
      <c r="H310" s="571"/>
      <c r="I310" s="581" t="str">
        <f>IF(Table1[[#This Row],[Staff]]="","",Table1[[#This Row],[Staff]])</f>
        <v/>
      </c>
      <c r="J310" s="570">
        <f>Table1[[#This Row],[Date]]</f>
        <v>0</v>
      </c>
      <c r="K310" s="526"/>
      <c r="L310" s="526"/>
      <c r="AF310" s="499"/>
      <c r="AG310" s="499"/>
      <c r="AH310" s="499"/>
      <c r="AI310" s="499"/>
    </row>
    <row r="311" spans="1:35" s="584" customFormat="1">
      <c r="A311" s="569"/>
      <c r="B311" s="37">
        <v>309</v>
      </c>
      <c r="C311" s="570"/>
      <c r="F311" s="499"/>
      <c r="G311" s="571"/>
      <c r="H311" s="571"/>
      <c r="I311" s="581" t="str">
        <f>IF(Table1[[#This Row],[Staff]]="","",Table1[[#This Row],[Staff]])</f>
        <v/>
      </c>
      <c r="J311" s="570">
        <f>Table1[[#This Row],[Date]]</f>
        <v>0</v>
      </c>
      <c r="K311" s="526"/>
      <c r="L311" s="526"/>
      <c r="AF311" s="499"/>
      <c r="AG311" s="499"/>
      <c r="AH311" s="499"/>
      <c r="AI311" s="499"/>
    </row>
    <row r="312" spans="1:35">
      <c r="B312" s="37">
        <v>310</v>
      </c>
      <c r="C312" s="570" t="s">
        <v>0</v>
      </c>
      <c r="I312" s="581" t="str">
        <f>IF(Table1[[#This Row],[Staff]]="","",Table1[[#This Row],[Staff]])</f>
        <v/>
      </c>
      <c r="J312" s="570" t="str">
        <f>Table1[[#This Row],[Date]]</f>
        <v xml:space="preserve"> </v>
      </c>
      <c r="K312" s="526"/>
      <c r="L312" s="526"/>
    </row>
    <row r="313" spans="1:35">
      <c r="B313" s="37">
        <v>311</v>
      </c>
      <c r="C313" s="570" t="s">
        <v>0</v>
      </c>
      <c r="I313" s="581" t="str">
        <f>IF(Table1[[#This Row],[Staff]]="","",Table1[[#This Row],[Staff]])</f>
        <v/>
      </c>
      <c r="J313" s="570" t="str">
        <f>Table1[[#This Row],[Date]]</f>
        <v xml:space="preserve"> </v>
      </c>
      <c r="K313" s="526"/>
      <c r="L313" s="526"/>
    </row>
    <row r="314" spans="1:35">
      <c r="B314" s="37">
        <v>312</v>
      </c>
      <c r="C314" s="570" t="s">
        <v>0</v>
      </c>
      <c r="I314" s="581" t="str">
        <f>IF(Table1[[#This Row],[Staff]]="","",Table1[[#This Row],[Staff]])</f>
        <v/>
      </c>
      <c r="J314" s="570" t="str">
        <f>Table1[[#This Row],[Date]]</f>
        <v xml:space="preserve"> </v>
      </c>
      <c r="K314" s="526"/>
      <c r="L314" s="526"/>
    </row>
  </sheetData>
  <mergeCells count="2">
    <mergeCell ref="A1:G1"/>
    <mergeCell ref="J1:AE1"/>
  </mergeCells>
  <dataValidations count="1">
    <dataValidation type="list" allowBlank="1" showInputMessage="1" showErrorMessage="1" sqref="K3:L314">
      <formula1>"--blank--,Y,N"</formula1>
    </dataValidation>
  </dataValidations>
  <pageMargins left="0.7" right="0.7" top="0.75" bottom="0.75" header="0.3" footer="0.3"/>
  <ignoredErrors>
    <ignoredError sqref="I38:J38 I215 I221" calculatedColumn="1"/>
  </ignoredErrors>
  <tableParts count="1">
    <tablePart r:id="rId1"/>
  </tableParts>
</worksheet>
</file>

<file path=xl/worksheets/sheet3.xml><?xml version="1.0" encoding="utf-8"?>
<worksheet xmlns="http://schemas.openxmlformats.org/spreadsheetml/2006/main" xmlns:r="http://schemas.openxmlformats.org/officeDocument/2006/relationships">
  <sheetPr codeName="Sheet4"/>
  <dimension ref="A1:AS42"/>
  <sheetViews>
    <sheetView showGridLines="0" topLeftCell="B1" zoomScaleNormal="100" workbookViewId="0">
      <selection activeCell="D20" sqref="D20"/>
    </sheetView>
  </sheetViews>
  <sheetFormatPr defaultColWidth="3.25" defaultRowHeight="20.25" outlineLevelCol="1"/>
  <cols>
    <col min="1" max="1" width="14" style="302" customWidth="1"/>
    <col min="2" max="2" width="2.625" style="161" customWidth="1"/>
    <col min="3" max="3" width="4" style="44" customWidth="1"/>
    <col min="4" max="4" width="27.125" style="433" customWidth="1"/>
    <col min="5" max="16" width="3.25" style="433" customWidth="1"/>
    <col min="17" max="17" width="14.375" style="433" customWidth="1"/>
    <col min="18" max="18" width="2.625" style="433" customWidth="1"/>
    <col min="19" max="19" width="2.625" customWidth="1"/>
    <col min="20" max="20" width="30.375" style="37" customWidth="1"/>
    <col min="21" max="21" width="24" hidden="1" customWidth="1" outlineLevel="1"/>
    <col min="22" max="22" width="14.875" style="38" hidden="1" customWidth="1" outlineLevel="1"/>
    <col min="23" max="23" width="24.625" customWidth="1" collapsed="1"/>
    <col min="24" max="24" width="16.5" customWidth="1"/>
    <col min="25" max="25" width="18" customWidth="1"/>
    <col min="26" max="34" width="31.125" customWidth="1"/>
  </cols>
  <sheetData>
    <row r="1" spans="1:45" s="161" customFormat="1" ht="21" customHeight="1">
      <c r="A1" s="302"/>
      <c r="B1" s="334"/>
      <c r="C1" s="334"/>
      <c r="D1" s="334"/>
      <c r="E1" s="334"/>
      <c r="F1" s="334"/>
      <c r="G1" s="334"/>
      <c r="H1" s="334"/>
      <c r="I1" s="334"/>
      <c r="J1" s="334"/>
      <c r="K1" s="334"/>
      <c r="L1" s="334"/>
      <c r="M1" s="334"/>
      <c r="N1" s="334"/>
      <c r="O1" s="334"/>
      <c r="P1" s="334"/>
      <c r="Q1" s="334"/>
      <c r="R1" s="334"/>
      <c r="S1" s="334"/>
      <c r="T1" s="37"/>
    </row>
    <row r="2" spans="1:45" s="7" customFormat="1" ht="21" customHeight="1">
      <c r="A2" s="29"/>
      <c r="B2" s="334"/>
      <c r="C2" s="54"/>
      <c r="D2" s="628" t="s">
        <v>10</v>
      </c>
      <c r="E2" s="628"/>
      <c r="F2" s="628"/>
      <c r="G2" s="628"/>
      <c r="H2" s="634">
        <f ca="1">TODAY()</f>
        <v>41384</v>
      </c>
      <c r="I2" s="634"/>
      <c r="J2" s="634"/>
      <c r="K2" s="634"/>
      <c r="L2" s="634"/>
      <c r="M2" s="634"/>
      <c r="N2" s="634"/>
      <c r="O2" s="634"/>
      <c r="P2" s="634"/>
      <c r="Q2" s="634"/>
      <c r="R2" s="55"/>
      <c r="S2" s="334"/>
      <c r="T2" s="120" t="s">
        <v>0</v>
      </c>
      <c r="U2" s="59"/>
      <c r="V2" s="59"/>
      <c r="W2" s="45"/>
      <c r="X2" s="45"/>
      <c r="Y2" s="25"/>
      <c r="Z2" s="25"/>
      <c r="AA2" s="25"/>
      <c r="AB2" s="25"/>
      <c r="AC2" s="45"/>
      <c r="AD2" s="45"/>
      <c r="AE2" s="25"/>
      <c r="AF2" s="25"/>
      <c r="AG2" s="25"/>
      <c r="AH2" s="25"/>
      <c r="AI2" s="25"/>
      <c r="AJ2" s="25"/>
      <c r="AK2" s="25"/>
      <c r="AL2" s="25"/>
      <c r="AM2" s="25"/>
      <c r="AN2" s="25"/>
      <c r="AO2" s="25"/>
      <c r="AP2" s="25"/>
      <c r="AQ2" s="25"/>
      <c r="AR2" s="25"/>
      <c r="AS2" s="25"/>
    </row>
    <row r="3" spans="1:45" s="7" customFormat="1" ht="70.5" customHeight="1">
      <c r="A3" s="29"/>
      <c r="B3" s="334"/>
      <c r="C3" s="42"/>
      <c r="D3" s="24"/>
      <c r="E3" s="24"/>
      <c r="F3" s="24"/>
      <c r="G3" s="25"/>
      <c r="H3" s="303"/>
      <c r="I3" s="303"/>
      <c r="J3" s="303"/>
      <c r="K3" s="303"/>
      <c r="L3" s="303"/>
      <c r="M3" s="303"/>
      <c r="N3" s="303"/>
      <c r="O3" s="303"/>
      <c r="P3" s="163"/>
      <c r="Q3" s="163"/>
      <c r="R3" s="163" t="s">
        <v>0</v>
      </c>
      <c r="S3" s="334"/>
      <c r="T3" s="61"/>
      <c r="U3"/>
      <c r="V3" s="60"/>
      <c r="W3" s="120" t="s">
        <v>0</v>
      </c>
      <c r="X3" s="45"/>
      <c r="Y3" s="25"/>
      <c r="Z3" s="62"/>
      <c r="AA3" s="25"/>
      <c r="AB3" s="25"/>
      <c r="AC3" s="45"/>
      <c r="AD3" s="45"/>
      <c r="AE3" s="25"/>
      <c r="AF3" s="25"/>
      <c r="AG3" s="25"/>
      <c r="AH3" s="25"/>
      <c r="AI3" s="25"/>
      <c r="AJ3" s="25"/>
      <c r="AK3" s="25"/>
      <c r="AL3" s="25"/>
      <c r="AM3" s="25"/>
      <c r="AN3" s="25"/>
      <c r="AO3" s="25"/>
      <c r="AP3" s="25"/>
      <c r="AQ3" s="25"/>
      <c r="AR3" s="25"/>
      <c r="AS3" s="25"/>
    </row>
    <row r="4" spans="1:45" s="7" customFormat="1" ht="50.25" customHeight="1">
      <c r="A4" s="29"/>
      <c r="B4" s="334"/>
      <c r="C4" s="43"/>
      <c r="D4" s="630" t="str">
        <f>R.1ProjectName</f>
        <v>Division 12 updates</v>
      </c>
      <c r="E4" s="630"/>
      <c r="F4" s="630"/>
      <c r="G4" s="630"/>
      <c r="H4" s="630"/>
      <c r="I4" s="630"/>
      <c r="J4" s="630"/>
      <c r="K4" s="630"/>
      <c r="L4" s="630"/>
      <c r="M4" s="630"/>
      <c r="N4" s="630"/>
      <c r="O4" s="630"/>
      <c r="P4" s="630"/>
      <c r="Q4" s="630"/>
      <c r="R4" s="366"/>
      <c r="S4" s="334"/>
      <c r="T4" s="63"/>
      <c r="U4"/>
      <c r="V4" s="57"/>
      <c r="W4" s="45"/>
      <c r="X4" s="45"/>
      <c r="Y4" s="25"/>
      <c r="Z4" s="25"/>
      <c r="AA4" s="25"/>
      <c r="AB4" s="25"/>
      <c r="AC4" s="45"/>
      <c r="AD4" s="45"/>
      <c r="AE4" s="25"/>
      <c r="AF4" s="25"/>
      <c r="AG4" s="25"/>
      <c r="AH4" s="25"/>
      <c r="AI4" s="25"/>
      <c r="AJ4" s="25"/>
      <c r="AK4" s="25"/>
      <c r="AL4" s="25"/>
      <c r="AM4" s="25"/>
      <c r="AN4" s="25"/>
      <c r="AO4" s="25"/>
      <c r="AP4" s="25"/>
      <c r="AQ4" s="25"/>
      <c r="AR4" s="25"/>
      <c r="AS4" s="25"/>
    </row>
    <row r="5" spans="1:45" s="7" customFormat="1" ht="17.25" customHeight="1">
      <c r="A5" s="29"/>
      <c r="B5" s="334"/>
      <c r="C5" s="629" t="s">
        <v>179</v>
      </c>
      <c r="D5" s="629"/>
      <c r="E5" s="629"/>
      <c r="F5" s="629"/>
      <c r="G5" s="629"/>
      <c r="H5" s="629"/>
      <c r="I5" s="629"/>
      <c r="J5" s="629"/>
      <c r="K5" s="629"/>
      <c r="L5" s="629"/>
      <c r="M5" s="629"/>
      <c r="N5" s="629"/>
      <c r="O5" s="629"/>
      <c r="P5" s="367"/>
      <c r="Q5" s="166"/>
      <c r="R5" s="27"/>
      <c r="S5" s="334"/>
      <c r="T5" s="58"/>
      <c r="U5" s="106"/>
      <c r="V5" s="106"/>
      <c r="W5" s="45"/>
      <c r="X5" s="45"/>
      <c r="Y5" s="25"/>
      <c r="Z5" s="25"/>
      <c r="AA5" s="25"/>
      <c r="AB5" s="25"/>
      <c r="AC5" s="45"/>
      <c r="AD5" s="45"/>
      <c r="AE5" s="25"/>
      <c r="AF5" s="25"/>
      <c r="AG5" s="25"/>
      <c r="AH5" s="25"/>
      <c r="AI5" s="25"/>
      <c r="AJ5" s="25"/>
      <c r="AK5" s="25"/>
      <c r="AL5" s="25"/>
      <c r="AM5" s="25"/>
      <c r="AN5" s="25"/>
      <c r="AO5" s="25"/>
      <c r="AP5" s="25"/>
      <c r="AQ5" s="25"/>
      <c r="AR5" s="25"/>
      <c r="AS5" s="25"/>
    </row>
    <row r="6" spans="1:45" s="29" customFormat="1" ht="14.25" customHeight="1">
      <c r="B6" s="334"/>
      <c r="C6" s="367"/>
      <c r="D6" s="367"/>
      <c r="E6" s="367"/>
      <c r="F6" s="367"/>
      <c r="G6" s="367"/>
      <c r="H6" s="367"/>
      <c r="I6" s="367"/>
      <c r="J6" s="367"/>
      <c r="K6" s="367"/>
      <c r="L6" s="367"/>
      <c r="M6" s="367"/>
      <c r="N6" s="367"/>
      <c r="O6" s="367"/>
      <c r="P6" s="367"/>
      <c r="Q6" s="166"/>
      <c r="R6" s="27"/>
      <c r="S6" s="334"/>
      <c r="T6" s="58"/>
      <c r="U6" s="106"/>
      <c r="V6" s="106"/>
      <c r="W6" s="45"/>
      <c r="X6" s="45"/>
      <c r="Y6" s="25"/>
      <c r="Z6" s="25"/>
      <c r="AA6" s="25"/>
      <c r="AB6" s="25"/>
      <c r="AC6" s="45"/>
      <c r="AD6" s="45"/>
      <c r="AE6" s="25"/>
      <c r="AF6" s="25"/>
      <c r="AG6" s="25"/>
      <c r="AH6" s="25"/>
      <c r="AI6" s="25"/>
      <c r="AJ6" s="25"/>
      <c r="AK6" s="25"/>
      <c r="AL6" s="25"/>
      <c r="AM6" s="25"/>
      <c r="AN6" s="25"/>
      <c r="AO6" s="25"/>
      <c r="AP6" s="25"/>
      <c r="AQ6" s="25"/>
      <c r="AR6" s="25"/>
      <c r="AS6" s="25"/>
    </row>
    <row r="7" spans="1:45" s="29" customFormat="1" ht="15.75" customHeight="1">
      <c r="B7" s="334"/>
      <c r="C7" s="213">
        <v>1</v>
      </c>
      <c r="D7" s="563" t="str">
        <f>'1ProjectRecord'!D2</f>
        <v>Project record</v>
      </c>
      <c r="E7" s="632" t="s">
        <v>88</v>
      </c>
      <c r="F7" s="625"/>
      <c r="G7" s="625"/>
      <c r="H7" s="625"/>
      <c r="I7" s="625"/>
      <c r="J7" s="625"/>
      <c r="K7" s="364"/>
      <c r="L7" s="364"/>
      <c r="M7" s="221"/>
      <c r="N7" s="221"/>
      <c r="O7" s="283"/>
      <c r="P7" s="283"/>
      <c r="Q7" s="283"/>
      <c r="R7" s="283"/>
      <c r="S7" s="334"/>
      <c r="T7" s="25"/>
      <c r="U7" s="25"/>
      <c r="V7" s="25"/>
      <c r="W7" s="25"/>
      <c r="X7" s="25"/>
      <c r="Y7" s="25"/>
      <c r="Z7" s="25"/>
      <c r="AA7" s="25"/>
      <c r="AB7" s="25"/>
      <c r="AC7" s="25"/>
      <c r="AD7" s="25"/>
      <c r="AE7" s="25"/>
      <c r="AF7" s="25"/>
      <c r="AG7" s="25"/>
    </row>
    <row r="8" spans="1:45" s="29" customFormat="1" ht="15.75" customHeight="1">
      <c r="B8" s="334"/>
      <c r="C8" s="213">
        <v>2</v>
      </c>
      <c r="D8" s="572" t="s">
        <v>160</v>
      </c>
      <c r="E8" s="633" t="s">
        <v>161</v>
      </c>
      <c r="F8" s="613"/>
      <c r="G8" s="613"/>
      <c r="H8" s="613" t="s">
        <v>79</v>
      </c>
      <c r="I8" s="613"/>
      <c r="J8" s="613"/>
      <c r="K8" s="281"/>
      <c r="L8" s="281"/>
      <c r="M8" s="212"/>
      <c r="N8" s="212"/>
      <c r="O8" s="631" t="s">
        <v>49</v>
      </c>
      <c r="P8" s="631"/>
      <c r="Q8" s="631"/>
      <c r="R8" s="631"/>
      <c r="S8" s="334"/>
      <c r="T8" s="25"/>
      <c r="U8" s="25"/>
      <c r="V8" s="25"/>
      <c r="W8" s="25"/>
      <c r="X8" s="25"/>
      <c r="Y8" s="25"/>
      <c r="Z8" s="25"/>
      <c r="AA8" s="25"/>
      <c r="AB8" s="25"/>
      <c r="AC8" s="25"/>
      <c r="AD8" s="25"/>
      <c r="AE8" s="25"/>
      <c r="AF8" s="25"/>
      <c r="AG8" s="25"/>
    </row>
    <row r="9" spans="1:45" s="7" customFormat="1" ht="15.75" customHeight="1">
      <c r="A9" s="29"/>
      <c r="B9" s="334"/>
      <c r="C9" s="213">
        <v>3</v>
      </c>
      <c r="D9" s="573" t="str">
        <f>'3CoreTeam'!D2</f>
        <v>Core Team</v>
      </c>
      <c r="E9" s="619">
        <f>R.3LowHrs</f>
        <v>346</v>
      </c>
      <c r="F9" s="620"/>
      <c r="G9" s="621"/>
      <c r="H9" s="614">
        <f>R.3HighHrs</f>
        <v>760</v>
      </c>
      <c r="I9" s="615"/>
      <c r="J9" s="616"/>
      <c r="K9" s="222"/>
      <c r="L9" s="624" t="s">
        <v>45</v>
      </c>
      <c r="M9" s="625"/>
      <c r="N9" s="625"/>
      <c r="O9" s="625"/>
      <c r="P9" s="626"/>
      <c r="Q9" s="282" t="str">
        <f>V9</f>
        <v>Low/Medium</v>
      </c>
      <c r="R9" s="372"/>
      <c r="S9" s="334"/>
      <c r="T9" s="49"/>
      <c r="U9" s="262">
        <f>R.2aOrgRisk</f>
        <v>2</v>
      </c>
      <c r="V9" s="263" t="str">
        <f>IF(U9=1,"Low",IF(U9=2,"Low/Medium",IF(U9=3,"Medium",IF(U9=4,"Medium/High","High"))))</f>
        <v>Low/Medium</v>
      </c>
      <c r="W9" s="25"/>
      <c r="X9" s="25"/>
      <c r="Y9" s="25"/>
      <c r="Z9" s="25"/>
      <c r="AA9" s="25"/>
      <c r="AB9" s="25"/>
      <c r="AC9" s="25"/>
      <c r="AD9" s="25"/>
      <c r="AE9" s="25"/>
      <c r="AF9" s="25"/>
      <c r="AG9" s="25"/>
    </row>
    <row r="10" spans="1:45" s="7" customFormat="1" ht="15.75" customHeight="1">
      <c r="A10" s="29"/>
      <c r="B10" s="334"/>
      <c r="C10" s="213">
        <v>4</v>
      </c>
      <c r="D10" s="563" t="str">
        <f>'4Advisors'!D2</f>
        <v>Advisors</v>
      </c>
      <c r="E10" s="619">
        <f>R.4LowHrs</f>
        <v>9</v>
      </c>
      <c r="F10" s="620"/>
      <c r="G10" s="621"/>
      <c r="H10" s="614">
        <f>R.4HighHrs</f>
        <v>48</v>
      </c>
      <c r="I10" s="615"/>
      <c r="J10" s="616"/>
      <c r="K10" s="222"/>
      <c r="L10" s="624" t="s">
        <v>46</v>
      </c>
      <c r="M10" s="625"/>
      <c r="N10" s="625"/>
      <c r="O10" s="625"/>
      <c r="P10" s="626"/>
      <c r="Q10" s="282" t="str">
        <f>V10</f>
        <v>Low</v>
      </c>
      <c r="R10" s="372"/>
      <c r="S10" s="334"/>
      <c r="T10" s="49"/>
      <c r="U10" s="262">
        <f>R.2bOrgRisk</f>
        <v>1</v>
      </c>
      <c r="V10" s="263" t="str">
        <f>IF(U10=1,"Low",IF(U10=2,"Low/Medium",IF(U10=3,"Medium",IF(U10=4,"Medium/High","High"))))</f>
        <v>Low</v>
      </c>
      <c r="W10" s="25"/>
      <c r="X10" s="25"/>
      <c r="Y10" s="25"/>
      <c r="Z10" s="25"/>
      <c r="AA10" s="25"/>
      <c r="AB10" s="25"/>
      <c r="AC10" s="25"/>
      <c r="AD10" s="25"/>
      <c r="AE10" s="25"/>
      <c r="AF10" s="25"/>
      <c r="AG10" s="25"/>
    </row>
    <row r="11" spans="1:45" s="7" customFormat="1" ht="15.75" customHeight="1">
      <c r="A11" s="29"/>
      <c r="B11" s="334"/>
      <c r="C11" s="213">
        <v>5</v>
      </c>
      <c r="D11" s="563" t="str">
        <f>'5InterestedStaff'!D2</f>
        <v>Interested Staff and EQC</v>
      </c>
      <c r="E11" s="619">
        <f>R.5LowHrs</f>
        <v>1</v>
      </c>
      <c r="F11" s="620"/>
      <c r="G11" s="621"/>
      <c r="H11" s="614">
        <f>R.5HighHrs</f>
        <v>8</v>
      </c>
      <c r="I11" s="615"/>
      <c r="J11" s="616"/>
      <c r="K11" s="222"/>
      <c r="L11" s="624" t="s">
        <v>47</v>
      </c>
      <c r="M11" s="625"/>
      <c r="N11" s="625"/>
      <c r="O11" s="625"/>
      <c r="P11" s="626"/>
      <c r="Q11" s="282" t="str">
        <f>V11</f>
        <v>Low</v>
      </c>
      <c r="R11" s="372"/>
      <c r="S11" s="334"/>
      <c r="T11" s="49"/>
      <c r="U11" s="262">
        <f>R.2cOrgRisk</f>
        <v>1</v>
      </c>
      <c r="V11" s="263" t="str">
        <f>IF(U11=1,"Low",IF(U11=2,"Low/Medium",IF(U11=3,"Medium",IF(U11=4,"Medium/High","High"))))</f>
        <v>Low</v>
      </c>
      <c r="W11" s="25"/>
      <c r="X11" s="25"/>
      <c r="Y11" s="25"/>
      <c r="Z11" s="25"/>
      <c r="AA11" s="25"/>
      <c r="AB11" s="25"/>
      <c r="AC11" s="25"/>
      <c r="AD11" s="25"/>
      <c r="AE11" s="25"/>
      <c r="AF11" s="25"/>
      <c r="AG11" s="25"/>
    </row>
    <row r="12" spans="1:45" s="7" customFormat="1" ht="15.75" customHeight="1">
      <c r="A12" s="29"/>
      <c r="B12" s="334"/>
      <c r="C12" s="213">
        <v>6</v>
      </c>
      <c r="D12" s="563" t="str">
        <f>'6OtherDivisions'!D2</f>
        <v>Other Divisions</v>
      </c>
      <c r="E12" s="619">
        <f>R.6LowHrs</f>
        <v>0</v>
      </c>
      <c r="F12" s="620"/>
      <c r="G12" s="621"/>
      <c r="H12" s="614">
        <f>R.6HighHrs</f>
        <v>0</v>
      </c>
      <c r="I12" s="615"/>
      <c r="J12" s="616"/>
      <c r="K12" s="222"/>
      <c r="L12" s="222"/>
      <c r="M12" s="222"/>
      <c r="N12" s="222"/>
      <c r="O12" s="283"/>
      <c r="P12" s="283"/>
      <c r="Q12" s="283"/>
      <c r="R12" s="283"/>
      <c r="S12" s="334"/>
      <c r="Y12" s="25"/>
      <c r="Z12" s="25"/>
      <c r="AA12" s="25"/>
      <c r="AB12" s="25"/>
      <c r="AC12" s="25"/>
      <c r="AD12" s="25"/>
      <c r="AE12" s="25"/>
      <c r="AF12" s="25"/>
      <c r="AG12" s="25"/>
    </row>
    <row r="13" spans="1:45" s="7" customFormat="1" ht="15.75" customHeight="1">
      <c r="A13" s="29"/>
      <c r="B13" s="334"/>
      <c r="C13" s="213">
        <v>7</v>
      </c>
      <c r="D13" s="563" t="str">
        <f>'7Regions'!D2</f>
        <v>Regions</v>
      </c>
      <c r="E13" s="622">
        <f>R.7LowHrs</f>
        <v>3</v>
      </c>
      <c r="F13" s="620"/>
      <c r="G13" s="621"/>
      <c r="H13" s="614">
        <f>R.7HighHrs</f>
        <v>24</v>
      </c>
      <c r="I13" s="615"/>
      <c r="J13" s="616"/>
      <c r="K13" s="222"/>
      <c r="L13" s="222"/>
      <c r="M13" s="222"/>
      <c r="N13" s="222"/>
      <c r="O13" s="283"/>
      <c r="P13" s="283"/>
      <c r="Q13" s="283"/>
      <c r="R13" s="284"/>
      <c r="S13" s="334"/>
      <c r="T13" s="25"/>
      <c r="U13" s="25"/>
      <c r="V13"/>
      <c r="W13" s="25"/>
      <c r="X13" s="25"/>
      <c r="Y13" s="25"/>
      <c r="Z13" s="25"/>
      <c r="AA13" s="25"/>
      <c r="AB13" s="25"/>
      <c r="AC13" s="25"/>
      <c r="AD13" s="25"/>
      <c r="AE13" s="25"/>
      <c r="AF13" s="25"/>
      <c r="AG13" s="25"/>
    </row>
    <row r="14" spans="1:45" s="7" customFormat="1" ht="15.75" customHeight="1">
      <c r="A14" s="29"/>
      <c r="B14" s="334"/>
      <c r="C14" s="213">
        <v>8</v>
      </c>
      <c r="D14" s="563" t="str">
        <f>'8FinancialServices'!D2</f>
        <v>Financial Services</v>
      </c>
      <c r="E14" s="622">
        <f>R.8LowHrs</f>
        <v>1</v>
      </c>
      <c r="F14" s="620"/>
      <c r="G14" s="621"/>
      <c r="H14" s="614">
        <f>R.8HighHrs</f>
        <v>8</v>
      </c>
      <c r="I14" s="615"/>
      <c r="J14" s="616"/>
      <c r="K14" s="222"/>
      <c r="L14" s="222"/>
      <c r="M14" s="222"/>
      <c r="N14" s="222"/>
      <c r="O14" s="29"/>
      <c r="P14" s="29"/>
      <c r="Q14" s="29"/>
      <c r="R14" s="288"/>
      <c r="S14" s="334"/>
      <c r="T14" s="25"/>
      <c r="U14" s="25"/>
      <c r="V14" s="25"/>
      <c r="W14" s="25"/>
      <c r="X14" s="25"/>
      <c r="Y14" s="25"/>
      <c r="Z14" s="25"/>
      <c r="AA14" s="25"/>
      <c r="AB14" s="25"/>
      <c r="AC14" s="25"/>
      <c r="AD14" s="25"/>
      <c r="AE14" s="25"/>
      <c r="AF14" s="25"/>
      <c r="AG14" s="25"/>
    </row>
    <row r="15" spans="1:45" s="7" customFormat="1" ht="15.75" customHeight="1">
      <c r="A15" s="29"/>
      <c r="B15" s="334"/>
      <c r="C15" s="213">
        <v>9</v>
      </c>
      <c r="D15" s="563" t="str">
        <f>'9OCO'!D2</f>
        <v>Communications and Outreach</v>
      </c>
      <c r="E15" s="619">
        <f>R.9LowHrs</f>
        <v>4</v>
      </c>
      <c r="F15" s="620"/>
      <c r="G15" s="621"/>
      <c r="H15" s="614">
        <f>R.9HighHrs</f>
        <v>32</v>
      </c>
      <c r="I15" s="615"/>
      <c r="J15" s="616"/>
      <c r="K15" s="222"/>
      <c r="L15" s="222"/>
      <c r="M15" s="222"/>
      <c r="N15" s="222"/>
      <c r="O15" s="283"/>
      <c r="P15" s="283"/>
      <c r="Q15" s="283"/>
      <c r="R15" s="284"/>
      <c r="S15" s="334"/>
      <c r="T15" s="25"/>
      <c r="U15" s="25"/>
      <c r="V15" s="25"/>
      <c r="W15" s="25"/>
      <c r="X15" s="25"/>
      <c r="Y15" s="25"/>
      <c r="Z15" s="25"/>
      <c r="AA15" s="25"/>
      <c r="AB15" s="25"/>
      <c r="AC15" s="25"/>
      <c r="AD15" s="25"/>
      <c r="AE15" s="25"/>
      <c r="AF15" s="25"/>
      <c r="AG15" s="25"/>
    </row>
    <row r="16" spans="1:45" s="7" customFormat="1" ht="15.75" customHeight="1">
      <c r="A16" s="29"/>
      <c r="B16" s="334"/>
      <c r="C16" s="213">
        <v>10</v>
      </c>
      <c r="D16" s="563" t="str">
        <f>'10OrgServices'!D2</f>
        <v>Organizational Services</v>
      </c>
      <c r="E16" s="619">
        <f>R.10LowHrs</f>
        <v>0</v>
      </c>
      <c r="F16" s="620"/>
      <c r="G16" s="621"/>
      <c r="H16" s="614">
        <f>R.10HighHrs</f>
        <v>0</v>
      </c>
      <c r="I16" s="615"/>
      <c r="J16" s="616"/>
      <c r="K16" s="222"/>
      <c r="L16" s="627" t="s">
        <v>98</v>
      </c>
      <c r="M16" s="625"/>
      <c r="N16" s="625"/>
      <c r="O16" s="625"/>
      <c r="P16" s="626"/>
      <c r="Q16" s="289">
        <f>U16</f>
        <v>18</v>
      </c>
      <c r="R16" s="284"/>
      <c r="S16" s="334"/>
      <c r="T16" s="25"/>
      <c r="U16" s="586">
        <f>SUM(R.3StaffCount,R.4StaffCount,R.5StaffCount,R.6StaffCount,R.7StaffCount,R.8StaffCount,R.9StaffCount,R.10StaffCount,R.11StaffCount,R.12StaffCount,R.13StaffCount,R.15StaffCount)</f>
        <v>18</v>
      </c>
      <c r="V16" s="25"/>
      <c r="W16" s="25"/>
      <c r="X16" s="25"/>
      <c r="Y16" s="25"/>
      <c r="Z16" s="25"/>
      <c r="AA16" s="25"/>
      <c r="AB16" s="25"/>
      <c r="AC16" s="25"/>
      <c r="AD16" s="25"/>
      <c r="AE16" s="25"/>
      <c r="AF16" s="25"/>
      <c r="AG16" s="25"/>
    </row>
    <row r="17" spans="1:45" s="7" customFormat="1" ht="15.75" customHeight="1">
      <c r="A17" s="29"/>
      <c r="B17" s="334"/>
      <c r="C17" s="213">
        <v>11</v>
      </c>
      <c r="D17" s="563" t="str">
        <f>'11TechServices'!D2</f>
        <v>Technical Services</v>
      </c>
      <c r="E17" s="619">
        <f>R.11LowHrs</f>
        <v>40</v>
      </c>
      <c r="F17" s="620"/>
      <c r="G17" s="621"/>
      <c r="H17" s="614">
        <f>R.11HighHrs</f>
        <v>80</v>
      </c>
      <c r="I17" s="615"/>
      <c r="J17" s="616"/>
      <c r="K17" s="222"/>
      <c r="L17" s="222"/>
      <c r="M17" s="222"/>
      <c r="N17" s="222"/>
      <c r="O17" s="283"/>
      <c r="P17" s="283"/>
      <c r="Q17" s="283"/>
      <c r="R17" s="284"/>
      <c r="S17" s="334"/>
      <c r="T17" s="25"/>
      <c r="U17" s="25"/>
      <c r="V17" s="25"/>
      <c r="W17" s="25"/>
      <c r="X17" s="25"/>
      <c r="Y17" s="25"/>
      <c r="Z17" s="25"/>
      <c r="AA17" s="25"/>
      <c r="AB17" s="25"/>
      <c r="AC17" s="25"/>
      <c r="AD17" s="25"/>
      <c r="AE17" s="25"/>
      <c r="AF17" s="25"/>
      <c r="AG17" s="25"/>
    </row>
    <row r="18" spans="1:45" s="29" customFormat="1" ht="15.75" customHeight="1">
      <c r="B18" s="334"/>
      <c r="C18" s="213">
        <v>12</v>
      </c>
      <c r="D18" s="563" t="s">
        <v>152</v>
      </c>
      <c r="E18" s="619">
        <f>R.12LowHrs</f>
        <v>8</v>
      </c>
      <c r="F18" s="620"/>
      <c r="G18" s="621"/>
      <c r="H18" s="614">
        <f>R.12HighHrs</f>
        <v>40</v>
      </c>
      <c r="I18" s="615"/>
      <c r="J18" s="616"/>
      <c r="K18" s="222"/>
      <c r="L18" s="222"/>
      <c r="M18" s="222"/>
      <c r="N18" s="222"/>
      <c r="O18" s="283"/>
      <c r="P18" s="283"/>
      <c r="Q18" s="283"/>
      <c r="R18" s="284"/>
      <c r="S18" s="334"/>
      <c r="T18" s="25"/>
      <c r="U18" s="25"/>
      <c r="V18" s="25"/>
      <c r="W18" s="25"/>
      <c r="X18" s="25"/>
      <c r="Y18" s="25"/>
      <c r="Z18" s="25"/>
      <c r="AA18" s="25"/>
      <c r="AB18" s="25"/>
      <c r="AC18" s="25"/>
      <c r="AD18" s="25"/>
      <c r="AE18" s="25"/>
      <c r="AF18" s="25"/>
      <c r="AG18" s="25"/>
    </row>
    <row r="19" spans="1:45" s="7" customFormat="1" ht="15.75" customHeight="1">
      <c r="A19" s="29"/>
      <c r="B19" s="334"/>
      <c r="C19" s="213">
        <v>13</v>
      </c>
      <c r="D19" s="563" t="str">
        <f>'13LEAD'!D2</f>
        <v>LEAD</v>
      </c>
      <c r="E19" s="619">
        <f>R.13LowHrs</f>
        <v>0</v>
      </c>
      <c r="F19" s="620"/>
      <c r="G19" s="621"/>
      <c r="H19" s="614">
        <f>R.13HighHrs</f>
        <v>0</v>
      </c>
      <c r="I19" s="615"/>
      <c r="J19" s="616"/>
      <c r="K19" s="222"/>
      <c r="L19" s="222"/>
      <c r="M19" s="222"/>
      <c r="N19" s="222"/>
      <c r="O19" s="283"/>
      <c r="P19" s="283"/>
      <c r="Q19" s="283"/>
      <c r="R19" s="284"/>
      <c r="S19" s="334"/>
      <c r="T19" s="25"/>
      <c r="U19" s="25"/>
      <c r="V19" s="25"/>
      <c r="W19" s="25"/>
      <c r="X19" s="25"/>
      <c r="Y19" s="25"/>
      <c r="Z19" s="25"/>
      <c r="AA19" s="25"/>
      <c r="AB19" s="25"/>
      <c r="AC19" s="25"/>
      <c r="AD19" s="25"/>
      <c r="AE19" s="25"/>
      <c r="AF19" s="25"/>
      <c r="AG19" s="25"/>
    </row>
    <row r="20" spans="1:45" s="7" customFormat="1" ht="15.75" customHeight="1">
      <c r="A20" s="29"/>
      <c r="B20" s="334"/>
      <c r="C20" s="213">
        <v>14</v>
      </c>
      <c r="D20" s="563" t="str">
        <f>'14Intergovernmental'!D2</f>
        <v>Intergovernmental</v>
      </c>
      <c r="E20" s="619">
        <f>R.14LowHrs</f>
        <v>0</v>
      </c>
      <c r="F20" s="620"/>
      <c r="G20" s="621"/>
      <c r="H20" s="614">
        <f>R.14HighHrs</f>
        <v>0</v>
      </c>
      <c r="I20" s="615"/>
      <c r="J20" s="616"/>
      <c r="K20" s="606" t="s">
        <v>0</v>
      </c>
      <c r="L20" s="607"/>
      <c r="M20" s="607"/>
      <c r="N20" s="607"/>
      <c r="O20" s="607"/>
      <c r="P20" s="283"/>
      <c r="Q20" s="283"/>
      <c r="R20" s="284"/>
      <c r="S20" s="334"/>
      <c r="T20" s="25"/>
      <c r="U20" s="25"/>
      <c r="V20" s="25"/>
      <c r="W20" s="25"/>
      <c r="X20" s="25"/>
      <c r="Y20" s="25"/>
      <c r="Z20" s="25"/>
      <c r="AA20" s="25"/>
      <c r="AB20" s="25"/>
      <c r="AC20" s="25"/>
      <c r="AD20" s="25"/>
      <c r="AE20" s="25"/>
      <c r="AF20" s="25"/>
      <c r="AG20" s="25"/>
    </row>
    <row r="21" spans="1:45" s="7" customFormat="1" ht="15.75" customHeight="1">
      <c r="A21" s="29"/>
      <c r="B21" s="334"/>
      <c r="C21" s="213">
        <v>15</v>
      </c>
      <c r="D21" s="563" t="str">
        <f>'15CustomParticipants'!D2</f>
        <v>Custom Participants</v>
      </c>
      <c r="E21" s="619">
        <f>R.15LowHrs</f>
        <v>0</v>
      </c>
      <c r="F21" s="620"/>
      <c r="G21" s="621"/>
      <c r="H21" s="614">
        <f>R.15HighHrs</f>
        <v>0</v>
      </c>
      <c r="I21" s="615"/>
      <c r="J21" s="616"/>
      <c r="K21" s="222"/>
      <c r="L21" s="222"/>
      <c r="M21" s="222"/>
      <c r="N21" s="222"/>
      <c r="O21" s="285"/>
      <c r="P21" s="285"/>
      <c r="Q21" s="285"/>
      <c r="R21" s="284"/>
      <c r="S21" s="334"/>
      <c r="T21" s="25"/>
      <c r="U21" s="25"/>
      <c r="V21" s="25"/>
      <c r="W21" s="25"/>
      <c r="X21" s="25"/>
      <c r="Y21" s="25"/>
      <c r="Z21" s="25"/>
      <c r="AA21" s="25"/>
      <c r="AB21" s="25"/>
      <c r="AC21" s="25"/>
      <c r="AD21" s="25"/>
      <c r="AE21" s="25"/>
      <c r="AF21" s="25"/>
      <c r="AG21" s="25"/>
    </row>
    <row r="22" spans="1:45" s="29" customFormat="1" ht="15.75" customHeight="1">
      <c r="B22" s="334"/>
      <c r="C22" s="213">
        <v>16</v>
      </c>
      <c r="D22" s="587" t="s">
        <v>187</v>
      </c>
      <c r="E22" s="619">
        <f>14*1</f>
        <v>14</v>
      </c>
      <c r="F22" s="620"/>
      <c r="G22" s="621"/>
      <c r="H22" s="614">
        <f>14*4</f>
        <v>56</v>
      </c>
      <c r="I22" s="615"/>
      <c r="J22" s="616"/>
      <c r="K22" s="222"/>
      <c r="L22" s="222"/>
      <c r="M22" s="222"/>
      <c r="N22" s="222"/>
      <c r="O22" s="285"/>
      <c r="P22" s="285"/>
      <c r="Q22" s="285"/>
      <c r="R22" s="284"/>
      <c r="S22" s="334"/>
      <c r="T22" s="25"/>
      <c r="U22" s="25"/>
      <c r="V22" s="25"/>
      <c r="W22" s="25"/>
      <c r="X22" s="25"/>
      <c r="Y22" s="25"/>
      <c r="Z22" s="25"/>
      <c r="AA22" s="25"/>
      <c r="AB22" s="25"/>
      <c r="AC22" s="25"/>
      <c r="AD22" s="25"/>
      <c r="AE22" s="25"/>
      <c r="AF22" s="25"/>
      <c r="AG22" s="25"/>
    </row>
    <row r="23" spans="1:45" s="29" customFormat="1" ht="15.75" customHeight="1">
      <c r="B23" s="334"/>
      <c r="C23" s="220"/>
      <c r="D23" s="363" t="s">
        <v>89</v>
      </c>
      <c r="E23" s="617">
        <f>SUM(E9:E22)</f>
        <v>426</v>
      </c>
      <c r="F23" s="617"/>
      <c r="G23" s="617"/>
      <c r="H23" s="617">
        <f>SUM(H9:H22)</f>
        <v>1056</v>
      </c>
      <c r="I23" s="617"/>
      <c r="J23" s="617"/>
      <c r="K23" s="373"/>
      <c r="L23" s="373"/>
      <c r="M23" s="373"/>
      <c r="N23" s="373"/>
      <c r="O23" s="285"/>
      <c r="P23" s="285"/>
      <c r="Q23" s="285"/>
      <c r="R23" s="284"/>
      <c r="S23" s="334"/>
      <c r="T23" s="25"/>
      <c r="U23" s="25"/>
      <c r="V23" s="25"/>
      <c r="W23" s="25"/>
      <c r="X23" s="25"/>
      <c r="Y23" s="25"/>
      <c r="Z23" s="25"/>
      <c r="AA23" s="25"/>
      <c r="AB23" s="25"/>
      <c r="AC23" s="25"/>
      <c r="AD23" s="25"/>
      <c r="AE23" s="25"/>
      <c r="AF23" s="25"/>
      <c r="AG23" s="25"/>
    </row>
    <row r="24" spans="1:45" s="29" customFormat="1" ht="15.75" customHeight="1">
      <c r="B24" s="334"/>
      <c r="C24" s="220"/>
      <c r="D24" s="530" t="s">
        <v>86</v>
      </c>
      <c r="E24" s="608">
        <f>-R.14LowHrs</f>
        <v>0</v>
      </c>
      <c r="F24" s="609"/>
      <c r="G24" s="609"/>
      <c r="H24" s="608">
        <f>-R.14HighHrs</f>
        <v>0</v>
      </c>
      <c r="I24" s="609"/>
      <c r="J24" s="609"/>
      <c r="K24" s="373"/>
      <c r="L24" s="373"/>
      <c r="M24" s="373"/>
      <c r="N24" s="373"/>
      <c r="O24" s="285"/>
      <c r="P24" s="285"/>
      <c r="Q24" s="285"/>
      <c r="R24" s="284"/>
      <c r="S24" s="334"/>
      <c r="T24" s="25"/>
      <c r="U24" s="25"/>
      <c r="V24" s="25"/>
      <c r="W24" s="25"/>
      <c r="X24" s="25"/>
      <c r="Y24" s="25"/>
      <c r="Z24" s="25"/>
      <c r="AA24" s="25"/>
      <c r="AB24" s="25"/>
      <c r="AC24" s="25"/>
      <c r="AD24" s="25"/>
      <c r="AE24" s="25"/>
      <c r="AF24" s="25"/>
      <c r="AG24" s="25"/>
    </row>
    <row r="25" spans="1:45" s="29" customFormat="1" ht="15.75" customHeight="1">
      <c r="B25" s="334"/>
      <c r="C25" s="220"/>
      <c r="D25" s="530"/>
      <c r="E25" s="610">
        <f>SUM(E23:E24)</f>
        <v>426</v>
      </c>
      <c r="F25" s="610"/>
      <c r="G25" s="610"/>
      <c r="H25" s="611">
        <f>SUM(H23:H24)</f>
        <v>1056</v>
      </c>
      <c r="I25" s="611"/>
      <c r="J25" s="611"/>
      <c r="K25" s="373"/>
      <c r="L25" s="373"/>
      <c r="M25" s="373"/>
      <c r="N25" s="373"/>
      <c r="O25" s="285"/>
      <c r="P25" s="285"/>
      <c r="Q25" s="285"/>
      <c r="R25" s="284"/>
      <c r="S25" s="334"/>
      <c r="T25" s="25"/>
      <c r="U25" s="25"/>
      <c r="V25" s="25"/>
      <c r="W25" s="25"/>
      <c r="X25" s="25"/>
      <c r="Y25" s="25"/>
      <c r="Z25" s="25"/>
      <c r="AA25" s="25"/>
      <c r="AB25" s="25"/>
      <c r="AC25" s="25"/>
      <c r="AD25" s="25"/>
      <c r="AE25" s="25"/>
      <c r="AF25" s="25"/>
      <c r="AG25" s="25"/>
    </row>
    <row r="26" spans="1:45" s="29" customFormat="1" ht="15.75" customHeight="1" thickBot="1">
      <c r="B26" s="334"/>
      <c r="C26" s="623" t="s">
        <v>92</v>
      </c>
      <c r="D26" s="623"/>
      <c r="E26" s="618" t="str">
        <f>"X    $"&amp;R.AvgHrDEQCost</f>
        <v>X    $58</v>
      </c>
      <c r="F26" s="618"/>
      <c r="G26" s="618"/>
      <c r="H26" s="618" t="str">
        <f>"X    $"&amp;R.AvgHrDEQCost</f>
        <v>X    $58</v>
      </c>
      <c r="I26" s="618"/>
      <c r="J26" s="618"/>
      <c r="K26" s="223"/>
      <c r="L26" s="223"/>
      <c r="M26" s="223"/>
      <c r="N26" s="223"/>
      <c r="O26" s="286"/>
      <c r="P26" s="286"/>
      <c r="Q26" s="286"/>
      <c r="R26" s="284"/>
      <c r="S26" s="334"/>
      <c r="T26" s="25"/>
      <c r="U26" s="25"/>
      <c r="V26" s="25"/>
      <c r="W26" s="25"/>
      <c r="X26" s="25"/>
      <c r="Y26" s="25"/>
      <c r="Z26" s="25"/>
      <c r="AA26" s="25"/>
      <c r="AB26" s="25"/>
      <c r="AC26" s="25"/>
      <c r="AD26" s="25"/>
      <c r="AE26" s="25"/>
      <c r="AF26" s="25"/>
      <c r="AG26" s="25"/>
    </row>
    <row r="27" spans="1:45" s="7" customFormat="1" ht="15.75" customHeight="1" thickTop="1">
      <c r="A27" s="29"/>
      <c r="B27" s="334"/>
      <c r="C27" s="220"/>
      <c r="D27" s="375" t="s">
        <v>91</v>
      </c>
      <c r="E27" s="612">
        <f>E25*R.AvgHrDEQCost</f>
        <v>24708</v>
      </c>
      <c r="F27" s="612"/>
      <c r="G27" s="612"/>
      <c r="H27" s="612">
        <f>H25*R.AvgHrDEQCost</f>
        <v>61248</v>
      </c>
      <c r="I27" s="612"/>
      <c r="J27" s="612"/>
      <c r="K27" s="374"/>
      <c r="L27" s="374"/>
      <c r="M27" s="374"/>
      <c r="N27" s="374"/>
      <c r="O27" s="286"/>
      <c r="P27" s="286"/>
      <c r="Q27" s="286"/>
      <c r="R27" s="287"/>
      <c r="S27" s="334"/>
      <c r="T27" s="58"/>
      <c r="U27" s="57"/>
      <c r="V27" s="57"/>
      <c r="W27" s="45"/>
      <c r="X27" s="45"/>
      <c r="Y27" s="25"/>
      <c r="Z27" s="25"/>
      <c r="AA27" s="25"/>
      <c r="AB27" s="25"/>
      <c r="AC27" s="45"/>
      <c r="AD27" s="45"/>
      <c r="AE27" s="25"/>
      <c r="AF27" s="25"/>
      <c r="AG27" s="25"/>
      <c r="AH27" s="25"/>
      <c r="AI27" s="25"/>
      <c r="AJ27" s="25"/>
      <c r="AK27" s="25"/>
      <c r="AL27" s="25"/>
      <c r="AM27" s="25"/>
      <c r="AN27" s="25"/>
      <c r="AO27" s="25"/>
      <c r="AP27" s="25"/>
      <c r="AQ27" s="25"/>
      <c r="AR27" s="25"/>
      <c r="AS27" s="25"/>
    </row>
    <row r="28" spans="1:45" s="7" customFormat="1" ht="15.75" customHeight="1">
      <c r="A28" s="29"/>
      <c r="B28" s="334"/>
      <c r="C28" s="43"/>
      <c r="D28" s="35"/>
      <c r="E28" s="35"/>
      <c r="F28" s="35"/>
      <c r="G28" s="34"/>
      <c r="H28" s="434"/>
      <c r="I28" s="434"/>
      <c r="J28" s="434"/>
      <c r="K28" s="434"/>
      <c r="L28" s="434"/>
      <c r="M28" s="434"/>
      <c r="N28" s="434"/>
      <c r="O28" s="434"/>
      <c r="P28" s="434"/>
      <c r="Q28" s="434"/>
      <c r="R28" s="27"/>
      <c r="S28" s="334"/>
      <c r="T28" s="58"/>
      <c r="U28" s="57"/>
      <c r="V28" s="57"/>
      <c r="W28" s="45"/>
      <c r="X28" s="45"/>
      <c r="Y28" s="25"/>
      <c r="Z28" s="25"/>
      <c r="AA28" s="25"/>
      <c r="AB28" s="25"/>
      <c r="AC28" s="45"/>
      <c r="AD28" s="45"/>
      <c r="AE28" s="25"/>
      <c r="AF28" s="25"/>
      <c r="AG28" s="25"/>
      <c r="AH28" s="25"/>
      <c r="AI28" s="25"/>
      <c r="AJ28" s="25"/>
      <c r="AK28" s="25"/>
      <c r="AL28" s="25"/>
      <c r="AM28" s="25"/>
      <c r="AN28" s="25"/>
      <c r="AO28" s="25"/>
      <c r="AP28" s="25"/>
      <c r="AQ28" s="25"/>
      <c r="AR28" s="25"/>
      <c r="AS28" s="25"/>
    </row>
    <row r="29" spans="1:45" s="29" customFormat="1" ht="14.25" customHeight="1">
      <c r="B29" s="334"/>
      <c r="C29" s="334"/>
      <c r="D29" s="334"/>
      <c r="E29" s="334"/>
      <c r="F29" s="334"/>
      <c r="G29" s="334"/>
      <c r="H29" s="334"/>
      <c r="I29" s="334"/>
      <c r="J29" s="334"/>
      <c r="K29" s="334"/>
      <c r="L29" s="334"/>
      <c r="M29" s="334"/>
      <c r="N29" s="334"/>
      <c r="O29" s="334"/>
      <c r="P29" s="334"/>
      <c r="Q29" s="334"/>
      <c r="R29" s="334"/>
      <c r="S29" s="334"/>
      <c r="T29" s="58"/>
      <c r="U29" s="27"/>
      <c r="V29" s="27"/>
      <c r="W29" s="45"/>
      <c r="X29" s="45"/>
      <c r="Y29" s="25"/>
      <c r="Z29" s="25"/>
      <c r="AA29" s="25"/>
      <c r="AB29" s="25"/>
      <c r="AC29" s="45"/>
      <c r="AD29" s="45"/>
      <c r="AE29" s="25"/>
      <c r="AF29" s="25"/>
      <c r="AG29" s="25"/>
      <c r="AH29" s="25"/>
      <c r="AI29" s="25"/>
      <c r="AJ29" s="25"/>
      <c r="AK29" s="25"/>
      <c r="AL29" s="25"/>
      <c r="AM29" s="25"/>
      <c r="AN29" s="25"/>
      <c r="AO29" s="25"/>
      <c r="AP29" s="25"/>
      <c r="AQ29" s="25"/>
      <c r="AR29" s="25"/>
      <c r="AS29" s="25"/>
    </row>
    <row r="30" spans="1:45">
      <c r="C30" s="43"/>
      <c r="D30" s="434"/>
      <c r="E30" s="434"/>
      <c r="F30" s="434"/>
      <c r="G30" s="434"/>
      <c r="H30" s="434"/>
      <c r="I30" s="434"/>
      <c r="J30" s="434"/>
      <c r="K30" s="434"/>
      <c r="L30" s="434"/>
      <c r="M30" s="434"/>
      <c r="N30" s="434"/>
      <c r="O30" s="434"/>
      <c r="P30" s="434"/>
      <c r="Q30" s="434"/>
      <c r="R30" s="434"/>
      <c r="S30" s="45"/>
      <c r="T30" s="41"/>
      <c r="U30" s="45"/>
      <c r="V30" s="45"/>
      <c r="W30" s="45"/>
      <c r="X30" s="45"/>
      <c r="Y30" s="45"/>
      <c r="Z30" s="45"/>
      <c r="AA30" s="45"/>
    </row>
    <row r="31" spans="1:45">
      <c r="C31" s="43"/>
      <c r="D31" s="434"/>
      <c r="E31" s="434"/>
      <c r="F31" s="434"/>
      <c r="G31" s="434"/>
      <c r="H31" s="434"/>
      <c r="I31" s="434"/>
      <c r="J31" s="434"/>
      <c r="K31" s="434"/>
      <c r="L31" s="434"/>
      <c r="M31" s="434"/>
      <c r="N31" s="434"/>
      <c r="O31" s="434"/>
      <c r="P31" s="434"/>
      <c r="Q31" s="434"/>
      <c r="R31" s="434"/>
      <c r="S31" s="45"/>
      <c r="T31" s="41"/>
      <c r="U31" s="45"/>
      <c r="V31" s="45"/>
      <c r="W31" s="45"/>
      <c r="X31" s="45"/>
      <c r="Y31" s="45"/>
      <c r="Z31" s="45"/>
      <c r="AA31" s="45"/>
    </row>
    <row r="32" spans="1:45">
      <c r="C32" s="43"/>
      <c r="D32" s="434"/>
      <c r="E32" s="434"/>
      <c r="F32" s="434"/>
      <c r="G32" s="434"/>
      <c r="H32" s="434"/>
      <c r="I32" s="434"/>
      <c r="J32" s="434"/>
      <c r="K32" s="434"/>
      <c r="L32" s="434"/>
      <c r="M32" s="434"/>
      <c r="N32" s="434"/>
      <c r="O32" s="434"/>
      <c r="P32" s="434"/>
      <c r="Q32" s="434"/>
      <c r="R32" s="434"/>
      <c r="S32" s="45"/>
      <c r="T32" s="41"/>
      <c r="U32" s="45"/>
      <c r="V32" s="45"/>
      <c r="W32" s="45"/>
      <c r="X32" s="45"/>
      <c r="Y32" s="45"/>
      <c r="Z32" s="45"/>
      <c r="AA32" s="45"/>
    </row>
    <row r="33" spans="3:27">
      <c r="C33" s="43"/>
      <c r="D33" s="434"/>
      <c r="E33" s="434"/>
      <c r="F33" s="434"/>
      <c r="G33" s="434"/>
      <c r="H33" s="434"/>
      <c r="I33" s="434"/>
      <c r="J33" s="434"/>
      <c r="K33" s="434"/>
      <c r="L33" s="434"/>
      <c r="M33" s="434"/>
      <c r="N33" s="434"/>
      <c r="O33" s="434"/>
      <c r="P33" s="434"/>
      <c r="Q33" s="434"/>
      <c r="R33" s="434"/>
      <c r="S33" s="45"/>
      <c r="T33" s="41"/>
      <c r="U33" s="45"/>
      <c r="V33" s="45"/>
      <c r="W33" s="45"/>
      <c r="X33" s="45"/>
      <c r="Y33" s="45"/>
      <c r="Z33" s="45"/>
      <c r="AA33" s="45"/>
    </row>
    <row r="34" spans="3:27">
      <c r="C34" s="43"/>
      <c r="D34" s="434"/>
      <c r="E34" s="434"/>
      <c r="F34" s="434"/>
      <c r="G34" s="434"/>
      <c r="H34" s="434"/>
      <c r="I34" s="434"/>
      <c r="J34" s="434"/>
      <c r="K34" s="434"/>
      <c r="L34" s="434"/>
      <c r="M34" s="434"/>
      <c r="N34" s="434"/>
      <c r="O34" s="434"/>
      <c r="P34" s="434"/>
      <c r="Q34" s="434"/>
      <c r="R34" s="434"/>
      <c r="S34" s="45"/>
      <c r="T34" s="41"/>
      <c r="U34" s="45"/>
      <c r="V34" s="45"/>
      <c r="W34" s="45"/>
      <c r="X34" s="45"/>
      <c r="Y34" s="45"/>
      <c r="Z34" s="45"/>
      <c r="AA34" s="45"/>
    </row>
    <row r="35" spans="3:27">
      <c r="C35" s="43"/>
      <c r="D35" s="434"/>
      <c r="E35" s="434"/>
      <c r="F35" s="434"/>
      <c r="G35" s="434"/>
      <c r="H35" s="434"/>
      <c r="I35" s="434"/>
      <c r="J35" s="434"/>
      <c r="K35" s="434"/>
      <c r="L35" s="434"/>
      <c r="M35" s="434"/>
      <c r="N35" s="434"/>
      <c r="O35" s="434"/>
      <c r="P35" s="434"/>
      <c r="Q35" s="434"/>
      <c r="R35" s="434"/>
      <c r="S35" s="45"/>
      <c r="T35" s="41"/>
      <c r="U35" s="45"/>
      <c r="V35" s="45"/>
      <c r="W35" s="45"/>
      <c r="X35" s="45"/>
      <c r="Y35" s="45"/>
      <c r="Z35" s="45"/>
      <c r="AA35" s="45"/>
    </row>
    <row r="36" spans="3:27">
      <c r="C36" s="43"/>
      <c r="D36" s="434"/>
      <c r="E36" s="434"/>
      <c r="F36" s="434"/>
      <c r="G36" s="434"/>
      <c r="H36" s="434"/>
      <c r="I36" s="434"/>
      <c r="J36" s="434"/>
      <c r="K36" s="434"/>
      <c r="L36" s="434"/>
      <c r="M36" s="434"/>
      <c r="N36" s="434"/>
      <c r="O36" s="434"/>
      <c r="P36" s="434"/>
      <c r="Q36" s="434"/>
      <c r="R36" s="434"/>
      <c r="S36" s="45"/>
      <c r="T36" s="41"/>
      <c r="U36" s="45"/>
      <c r="V36" s="45"/>
      <c r="W36" s="45"/>
      <c r="X36" s="45"/>
      <c r="Y36" s="45"/>
      <c r="Z36" s="45"/>
      <c r="AA36" s="45"/>
    </row>
    <row r="37" spans="3:27">
      <c r="C37" s="43"/>
      <c r="D37" s="434"/>
      <c r="E37" s="434"/>
      <c r="F37" s="434"/>
      <c r="G37" s="434"/>
      <c r="H37" s="434"/>
      <c r="I37" s="434"/>
      <c r="J37" s="434"/>
      <c r="K37" s="434"/>
      <c r="L37" s="434"/>
      <c r="M37" s="434"/>
      <c r="N37" s="434"/>
      <c r="O37" s="434"/>
      <c r="P37" s="434"/>
      <c r="Q37" s="434"/>
      <c r="R37" s="434"/>
      <c r="S37" s="45"/>
      <c r="T37" s="41"/>
      <c r="U37" s="45"/>
      <c r="V37" s="45"/>
      <c r="W37" s="45"/>
      <c r="X37" s="45"/>
      <c r="Y37" s="45"/>
      <c r="Z37" s="45"/>
      <c r="AA37" s="45"/>
    </row>
    <row r="38" spans="3:27">
      <c r="C38" s="43"/>
      <c r="D38" s="434"/>
      <c r="E38" s="434"/>
      <c r="F38" s="434"/>
      <c r="G38" s="434"/>
      <c r="R38" s="434"/>
      <c r="S38" s="45"/>
      <c r="T38" s="41"/>
      <c r="U38" s="45"/>
      <c r="V38" s="45"/>
      <c r="W38" s="45"/>
      <c r="X38" s="45"/>
      <c r="Y38" s="45"/>
      <c r="Z38" s="45"/>
      <c r="AA38" s="45"/>
    </row>
    <row r="39" spans="3:27">
      <c r="C39" s="43"/>
      <c r="D39" s="434"/>
      <c r="E39" s="434"/>
      <c r="F39" s="434"/>
      <c r="G39" s="434"/>
      <c r="R39" s="434"/>
      <c r="S39" s="45"/>
      <c r="T39" s="41"/>
      <c r="U39" s="45"/>
      <c r="V39" s="45"/>
      <c r="W39" s="45"/>
      <c r="X39" s="45"/>
      <c r="Y39" s="45"/>
      <c r="Z39" s="45"/>
      <c r="AA39" s="45"/>
    </row>
    <row r="40" spans="3:27">
      <c r="C40" s="43"/>
      <c r="D40" s="434"/>
      <c r="E40" s="434"/>
      <c r="F40" s="434"/>
      <c r="G40" s="434"/>
      <c r="R40" s="434"/>
      <c r="S40" s="45"/>
      <c r="T40" s="41"/>
      <c r="U40" s="45"/>
      <c r="V40" s="45"/>
      <c r="W40" s="45"/>
      <c r="X40" s="45"/>
      <c r="Y40" s="45"/>
      <c r="Z40" s="45"/>
      <c r="AA40" s="45"/>
    </row>
    <row r="41" spans="3:27">
      <c r="C41" s="43"/>
      <c r="D41" s="434"/>
      <c r="E41" s="434"/>
      <c r="F41" s="434"/>
      <c r="G41" s="434"/>
      <c r="R41" s="434"/>
      <c r="S41" s="45"/>
      <c r="T41" s="41"/>
      <c r="U41" s="45"/>
      <c r="V41" s="45"/>
      <c r="W41" s="45"/>
      <c r="X41" s="45"/>
      <c r="Y41" s="45"/>
      <c r="Z41" s="45"/>
      <c r="AA41" s="45"/>
    </row>
    <row r="42" spans="3:27">
      <c r="D42" s="434"/>
      <c r="E42" s="434"/>
      <c r="F42" s="434"/>
      <c r="G42" s="434"/>
    </row>
  </sheetData>
  <sheetProtection sheet="1" scenarios="1" formatCells="0" formatRows="0" insertHyperlinks="0"/>
  <mergeCells count="52">
    <mergeCell ref="D2:G2"/>
    <mergeCell ref="C5:O5"/>
    <mergeCell ref="L9:P9"/>
    <mergeCell ref="L10:P10"/>
    <mergeCell ref="H9:J9"/>
    <mergeCell ref="H10:J10"/>
    <mergeCell ref="D4:Q4"/>
    <mergeCell ref="O8:R8"/>
    <mergeCell ref="E7:J7"/>
    <mergeCell ref="E8:G8"/>
    <mergeCell ref="E10:G10"/>
    <mergeCell ref="H2:Q2"/>
    <mergeCell ref="H17:J17"/>
    <mergeCell ref="H18:J18"/>
    <mergeCell ref="L11:P11"/>
    <mergeCell ref="L16:P16"/>
    <mergeCell ref="H11:J11"/>
    <mergeCell ref="H12:J12"/>
    <mergeCell ref="H13:J13"/>
    <mergeCell ref="E12:G12"/>
    <mergeCell ref="E13:G13"/>
    <mergeCell ref="E14:G14"/>
    <mergeCell ref="C26:D26"/>
    <mergeCell ref="E15:G15"/>
    <mergeCell ref="E16:G16"/>
    <mergeCell ref="E17:G17"/>
    <mergeCell ref="E18:G18"/>
    <mergeCell ref="E19:G19"/>
    <mergeCell ref="E20:G20"/>
    <mergeCell ref="E26:G26"/>
    <mergeCell ref="E23:G23"/>
    <mergeCell ref="E27:G27"/>
    <mergeCell ref="H8:J8"/>
    <mergeCell ref="H19:J19"/>
    <mergeCell ref="H20:J20"/>
    <mergeCell ref="H21:J21"/>
    <mergeCell ref="H23:J23"/>
    <mergeCell ref="H26:J26"/>
    <mergeCell ref="E22:G22"/>
    <mergeCell ref="H22:J22"/>
    <mergeCell ref="H14:J14"/>
    <mergeCell ref="H15:J15"/>
    <mergeCell ref="H16:J16"/>
    <mergeCell ref="E21:G21"/>
    <mergeCell ref="H27:J27"/>
    <mergeCell ref="E9:G9"/>
    <mergeCell ref="E11:G11"/>
    <mergeCell ref="K20:O20"/>
    <mergeCell ref="E24:G24"/>
    <mergeCell ref="H24:J24"/>
    <mergeCell ref="E25:G25"/>
    <mergeCell ref="H25:J25"/>
  </mergeCells>
  <conditionalFormatting sqref="H30:N62 H28:N28">
    <cfRule type="colorScale" priority="147">
      <colorScale>
        <cfvo type="num" val="0"/>
        <cfvo type="num" val="5"/>
        <cfvo type="num" val="10"/>
        <color rgb="FF00B050"/>
        <color rgb="FFFFFF00"/>
        <color rgb="FFFF0000"/>
      </colorScale>
    </cfRule>
  </conditionalFormatting>
  <conditionalFormatting sqref="Q9:Q11">
    <cfRule type="expression" dxfId="2655" priority="1" stopIfTrue="1">
      <formula>IF($Q9="Low",TRUE)</formula>
    </cfRule>
    <cfRule type="expression" dxfId="2654" priority="2" stopIfTrue="1">
      <formula>IF($Q9="Low/Medium",TRUE)</formula>
    </cfRule>
    <cfRule type="expression" dxfId="2653" priority="3" stopIfTrue="1">
      <formula>IF($Q9="Medium",TRUE)</formula>
    </cfRule>
    <cfRule type="expression" dxfId="2652" priority="4" stopIfTrue="1">
      <formula>IF($Q9="Medium/High",TRUE)</formula>
    </cfRule>
    <cfRule type="expression" dxfId="2651" priority="5" stopIfTrue="1">
      <formula>IF($Q9="High",TRUE)</formula>
    </cfRule>
  </conditionalFormatting>
  <dataValidations disablePrompts="1" xWindow="871" yWindow="511" count="3">
    <dataValidation allowBlank="1" showInputMessage="1" showErrorMessage="1" promptTitle="Risk Scale" prompt="Low - Fully resourced, skilled management and team, no recruitment or specialist training_x000a__x000a_Medium - Key skills/experience in place but recruitment/training required_x000a__x000a_High - Key skills/experience not in place, recruitment or extensive training required _x000a_" sqref="L11 R11:S11"/>
    <dataValidation allowBlank="1" showInputMessage="1" showErrorMessage="1" promptTitle="Risk scale" prompt="Low - Program/DEQ has extensive experience with previous comparable outputs_x000a__x000a_Medium - Program/DEQ has experience with comparable projects but this project has new complexities_x000a__x000a_High - No previous experience with this type of proposal" sqref="L10 R10:S10"/>
    <dataValidation allowBlank="1" showInputMessage="1" showErrorMessage="1" prompt="Low  -  Limited impact on operations or staff_x000a__x000a_Medium - Some impact on operations, retraining, transfer or reassigning staff_x000a__x000a_High -  Significant impact on operations, restructuring, potential for high profile failure" sqref="L9"/>
  </dataValidations>
  <hyperlinks>
    <hyperlink ref="D7" location="R.1Header" display="R.1Header"/>
    <hyperlink ref="D8" location="R.2Header" display="Risks"/>
    <hyperlink ref="D9" location="R.3Header" display="R.3Header"/>
    <hyperlink ref="D10" location="R.4Header" display="R.4Header"/>
    <hyperlink ref="D11" location="R.5Header" display="R.5Header"/>
    <hyperlink ref="D12" location="R.6Header" display="R.6Header"/>
    <hyperlink ref="D13" location="R.7Header" display="R.7Header"/>
    <hyperlink ref="D14" location="R.8Header" display="R.8Header"/>
    <hyperlink ref="D15" location="R.9Header" display="R.9Header"/>
    <hyperlink ref="D16" location="R.10Header" display="R.10Header"/>
    <hyperlink ref="D17" location="R.11Header" display="R.11Header"/>
    <hyperlink ref="D18" location="R.12Header" display="Compliance and Enforcement"/>
    <hyperlink ref="D19" location="R.13Header" display="R.13Header"/>
    <hyperlink ref="D20" location="R.14Header" display="R.14Header"/>
    <hyperlink ref="D21" location="R.15Header" display="R.15Header"/>
  </hyperlinks>
  <pageMargins left="0.7" right="0.35" top="0.41" bottom="0.42" header="0.3" footer="0.3"/>
  <pageSetup orientation="portrait" horizontalDpi="4294967293" verticalDpi="4294967293" r:id="rId1"/>
  <ignoredErrors>
    <ignoredError sqref="D7 D19:D21 D10:D17" unlockedFormula="1"/>
  </ignoredErrors>
  <drawing r:id="rId2"/>
  <legacyDrawing r:id="rId3"/>
</worksheet>
</file>

<file path=xl/worksheets/sheet4.xml><?xml version="1.0" encoding="utf-8"?>
<worksheet xmlns="http://schemas.openxmlformats.org/spreadsheetml/2006/main" xmlns:r="http://schemas.openxmlformats.org/officeDocument/2006/relationships">
  <sheetPr codeName="Sheet7"/>
  <dimension ref="A1:AT211"/>
  <sheetViews>
    <sheetView showGridLines="0" topLeftCell="A17" zoomScaleNormal="100" workbookViewId="0">
      <selection activeCell="G18" sqref="G18:R18"/>
    </sheetView>
  </sheetViews>
  <sheetFormatPr defaultColWidth="9" defaultRowHeight="20.25" outlineLevelRow="1" outlineLevelCol="1"/>
  <cols>
    <col min="1" max="1" width="13.75" style="342" customWidth="1"/>
    <col min="2" max="2" width="3.625" style="309" customWidth="1"/>
    <col min="3" max="3" width="3.625" style="44" customWidth="1"/>
    <col min="4" max="4" width="6.375" style="56" customWidth="1"/>
    <col min="5" max="5" width="7.75" style="56" customWidth="1"/>
    <col min="6" max="6" width="20.5" style="29" customWidth="1"/>
    <col min="7" max="7" width="14.25" style="56" customWidth="1"/>
    <col min="8" max="17" width="1.625" style="56" customWidth="1"/>
    <col min="18" max="18" width="19.75" style="56" customWidth="1"/>
    <col min="19" max="20" width="3.625" style="56" customWidth="1"/>
    <col min="21" max="21" width="5.125" style="37" hidden="1" customWidth="1" outlineLevel="1"/>
    <col min="22" max="22" width="27.25" style="56" hidden="1" customWidth="1" outlineLevel="1"/>
    <col min="23" max="23" width="14.875" style="56" hidden="1" customWidth="1" outlineLevel="1"/>
    <col min="24" max="24" width="14.625" style="56" hidden="1" customWidth="1" outlineLevel="1"/>
    <col min="25" max="25" width="30.625" style="56" customWidth="1" collapsed="1"/>
    <col min="26" max="26" width="16.5" style="56" customWidth="1"/>
    <col min="27" max="27" width="18" style="56" customWidth="1"/>
    <col min="28" max="36" width="31.125" style="56" customWidth="1"/>
    <col min="37" max="16384" width="9" style="56"/>
  </cols>
  <sheetData>
    <row r="1" spans="1:46" s="161" customFormat="1" ht="15.75" customHeight="1">
      <c r="A1" s="350" t="s">
        <v>104</v>
      </c>
      <c r="B1" s="334"/>
      <c r="C1" s="334"/>
      <c r="D1" s="334"/>
      <c r="E1" s="334"/>
      <c r="F1" s="334"/>
      <c r="G1" s="334"/>
      <c r="H1" s="334"/>
      <c r="I1" s="334"/>
      <c r="J1" s="334"/>
      <c r="K1" s="334"/>
      <c r="L1" s="334"/>
      <c r="M1" s="334"/>
      <c r="N1" s="334"/>
      <c r="O1" s="334"/>
      <c r="P1" s="334"/>
      <c r="Q1" s="334"/>
      <c r="R1" s="334"/>
      <c r="S1" s="334"/>
      <c r="T1" s="334"/>
      <c r="U1" s="37"/>
    </row>
    <row r="2" spans="1:46" s="29" customFormat="1" ht="30" customHeight="1" thickBot="1">
      <c r="A2" s="337"/>
      <c r="B2" s="334"/>
      <c r="C2" s="248">
        <v>1</v>
      </c>
      <c r="D2" s="660" t="s">
        <v>41</v>
      </c>
      <c r="E2" s="660"/>
      <c r="F2" s="660"/>
      <c r="G2" s="645" t="s">
        <v>594</v>
      </c>
      <c r="H2" s="645"/>
      <c r="I2" s="645"/>
      <c r="J2" s="645"/>
      <c r="K2" s="645"/>
      <c r="L2" s="645"/>
      <c r="M2" s="645"/>
      <c r="N2" s="645"/>
      <c r="O2" s="645"/>
      <c r="P2" s="645"/>
      <c r="Q2" s="645"/>
      <c r="R2" s="645"/>
      <c r="S2" s="264"/>
      <c r="T2" s="334"/>
      <c r="U2" s="27"/>
      <c r="V2" s="198" t="s">
        <v>82</v>
      </c>
      <c r="W2" s="199">
        <v>58</v>
      </c>
      <c r="X2" s="25"/>
      <c r="Y2" s="45"/>
      <c r="Z2" s="25"/>
      <c r="AA2" s="25"/>
      <c r="AB2" s="25"/>
      <c r="AC2" s="65"/>
      <c r="AD2" s="64"/>
      <c r="AE2" s="64"/>
      <c r="AF2" s="65"/>
      <c r="AG2" s="65"/>
      <c r="AH2" s="65"/>
      <c r="AI2" s="65"/>
      <c r="AJ2" s="65"/>
      <c r="AK2" s="65"/>
      <c r="AL2" s="65"/>
      <c r="AM2" s="65"/>
      <c r="AN2" s="65"/>
      <c r="AO2" s="65"/>
      <c r="AP2" s="65"/>
      <c r="AQ2" s="65"/>
      <c r="AR2" s="65"/>
      <c r="AS2" s="65"/>
      <c r="AT2" s="65"/>
    </row>
    <row r="3" spans="1:46" s="29" customFormat="1" ht="20.25" customHeight="1" thickTop="1">
      <c r="A3" s="337"/>
      <c r="B3" s="334"/>
      <c r="C3" s="136"/>
      <c r="D3" s="2"/>
      <c r="E3" s="2"/>
      <c r="F3" s="2"/>
      <c r="G3" s="2"/>
      <c r="H3" s="2"/>
      <c r="I3" s="2"/>
      <c r="J3" s="2"/>
      <c r="K3" s="2"/>
      <c r="L3" s="2"/>
      <c r="M3" s="2"/>
      <c r="N3" s="2"/>
      <c r="O3" s="2"/>
      <c r="P3" s="2"/>
      <c r="Q3" s="2"/>
      <c r="R3" s="2"/>
      <c r="S3" s="265"/>
      <c r="T3" s="334"/>
      <c r="U3" s="27"/>
      <c r="V3" s="198"/>
      <c r="W3" s="25"/>
      <c r="X3" s="25"/>
      <c r="Y3" s="120" t="s">
        <v>0</v>
      </c>
      <c r="Z3" s="25"/>
      <c r="AA3" s="25"/>
      <c r="AB3" s="25"/>
      <c r="AC3" s="65"/>
      <c r="AD3" s="64"/>
      <c r="AE3" s="64"/>
      <c r="AF3" s="65"/>
      <c r="AG3" s="65"/>
      <c r="AH3" s="65"/>
      <c r="AI3" s="65"/>
      <c r="AJ3" s="65"/>
      <c r="AK3" s="65"/>
      <c r="AL3" s="65"/>
      <c r="AM3" s="65"/>
      <c r="AN3" s="65"/>
      <c r="AO3" s="65"/>
      <c r="AP3" s="65"/>
      <c r="AQ3" s="65"/>
      <c r="AR3" s="65"/>
      <c r="AS3" s="65"/>
      <c r="AT3" s="65"/>
    </row>
    <row r="4" spans="1:46" s="28" customFormat="1" ht="20.25" customHeight="1">
      <c r="A4" s="341"/>
      <c r="B4" s="334"/>
      <c r="C4" s="138"/>
      <c r="D4" s="659" t="s">
        <v>85</v>
      </c>
      <c r="E4" s="659"/>
      <c r="F4" s="659"/>
      <c r="G4" s="661" t="s">
        <v>595</v>
      </c>
      <c r="H4" s="662"/>
      <c r="I4" s="662"/>
      <c r="J4" s="662"/>
      <c r="K4" s="662"/>
      <c r="L4" s="662"/>
      <c r="M4" s="662"/>
      <c r="N4" s="662"/>
      <c r="O4" s="662"/>
      <c r="P4" s="662"/>
      <c r="Q4" s="662"/>
      <c r="R4" s="663"/>
      <c r="S4" s="314"/>
      <c r="T4" s="334"/>
      <c r="U4" s="27"/>
      <c r="V4" s="198" t="str">
        <f>P6&amp;" "&amp;H5</f>
        <v>CP Division 12 Updates</v>
      </c>
      <c r="W4" s="26"/>
      <c r="X4" s="26"/>
      <c r="Y4" s="315"/>
      <c r="Z4" s="26"/>
      <c r="AA4" s="26"/>
      <c r="AB4" s="26"/>
      <c r="AC4" s="130"/>
      <c r="AD4" s="126"/>
      <c r="AE4" s="126"/>
      <c r="AF4" s="130"/>
      <c r="AG4" s="130"/>
      <c r="AH4" s="130"/>
      <c r="AI4" s="130"/>
      <c r="AJ4" s="130"/>
      <c r="AK4" s="130"/>
      <c r="AL4" s="130"/>
      <c r="AM4" s="130"/>
      <c r="AN4" s="130"/>
      <c r="AO4" s="130"/>
      <c r="AP4" s="130"/>
      <c r="AQ4" s="130"/>
      <c r="AR4" s="130"/>
      <c r="AS4" s="130"/>
      <c r="AT4" s="130"/>
    </row>
    <row r="5" spans="1:46" s="28" customFormat="1" ht="20.25" customHeight="1">
      <c r="A5" s="341"/>
      <c r="B5" s="334"/>
      <c r="C5" s="138"/>
      <c r="D5" s="664" t="s">
        <v>164</v>
      </c>
      <c r="E5" s="664"/>
      <c r="F5" s="665"/>
      <c r="G5" s="402" t="s">
        <v>596</v>
      </c>
      <c r="H5" s="652" t="s">
        <v>594</v>
      </c>
      <c r="I5" s="653"/>
      <c r="J5" s="653"/>
      <c r="K5" s="653"/>
      <c r="L5" s="653"/>
      <c r="M5" s="653"/>
      <c r="N5" s="653"/>
      <c r="O5" s="653"/>
      <c r="P5" s="653"/>
      <c r="Q5" s="653"/>
      <c r="R5" s="654"/>
      <c r="S5" s="314"/>
      <c r="T5" s="334"/>
      <c r="U5" s="27"/>
      <c r="V5"/>
      <c r="W5" s="26"/>
      <c r="X5" s="26"/>
      <c r="Y5" s="315"/>
      <c r="Z5" s="26"/>
      <c r="AA5" s="26"/>
      <c r="AB5" s="26"/>
      <c r="AC5" s="130"/>
      <c r="AD5" s="126"/>
      <c r="AE5" s="126"/>
      <c r="AF5" s="130"/>
      <c r="AG5" s="130"/>
      <c r="AH5" s="130"/>
      <c r="AI5" s="130"/>
      <c r="AJ5" s="130"/>
      <c r="AK5" s="130"/>
      <c r="AL5" s="130"/>
      <c r="AM5" s="130"/>
      <c r="AN5" s="130"/>
      <c r="AO5" s="130"/>
      <c r="AP5" s="130"/>
      <c r="AQ5" s="130"/>
      <c r="AR5" s="130"/>
      <c r="AS5" s="130"/>
      <c r="AT5" s="130"/>
    </row>
    <row r="6" spans="1:46" s="28" customFormat="1" ht="20.25" customHeight="1">
      <c r="A6" s="341"/>
      <c r="B6" s="334"/>
      <c r="C6" s="138"/>
      <c r="D6" s="394" t="s">
        <v>162</v>
      </c>
      <c r="E6" s="394"/>
      <c r="F6" s="394"/>
      <c r="G6" s="403">
        <v>2013</v>
      </c>
      <c r="H6" s="395"/>
      <c r="I6" s="655" t="s">
        <v>165</v>
      </c>
      <c r="J6" s="655"/>
      <c r="K6" s="655"/>
      <c r="L6" s="655"/>
      <c r="M6" s="655"/>
      <c r="N6" s="655"/>
      <c r="O6" s="656"/>
      <c r="P6" s="657" t="s">
        <v>597</v>
      </c>
      <c r="Q6" s="658"/>
      <c r="R6" s="395"/>
      <c r="S6" s="314"/>
      <c r="T6" s="334"/>
      <c r="U6" s="27"/>
      <c r="V6" t="str">
        <f>P6</f>
        <v>CP</v>
      </c>
      <c r="W6" s="26"/>
      <c r="X6" s="26"/>
      <c r="Y6" s="575" t="s">
        <v>550</v>
      </c>
      <c r="Z6" s="26"/>
      <c r="AA6" s="26"/>
      <c r="AB6" s="26"/>
      <c r="AC6" s="130"/>
      <c r="AD6" s="126"/>
      <c r="AE6" s="126"/>
      <c r="AF6" s="130"/>
      <c r="AG6" s="130"/>
      <c r="AH6" s="130"/>
      <c r="AI6" s="130"/>
      <c r="AJ6" s="130"/>
      <c r="AK6" s="130"/>
      <c r="AL6" s="130"/>
      <c r="AM6" s="130"/>
      <c r="AN6" s="130"/>
      <c r="AO6" s="130"/>
      <c r="AP6" s="130"/>
      <c r="AQ6" s="130"/>
      <c r="AR6" s="130"/>
      <c r="AS6" s="130"/>
      <c r="AT6" s="130"/>
    </row>
    <row r="7" spans="1:46" s="29" customFormat="1">
      <c r="A7" s="350" t="s">
        <v>109</v>
      </c>
      <c r="B7" s="334"/>
      <c r="C7" s="266"/>
      <c r="D7" s="274" t="s">
        <v>71</v>
      </c>
      <c r="E7" s="40"/>
      <c r="F7" s="275"/>
      <c r="G7" s="403" t="s">
        <v>163</v>
      </c>
      <c r="H7" s="636" t="str">
        <f>P.1PlanYear&amp; " Rules "&amp;$P$6&amp;" "&amp;$H$5</f>
        <v>2013 Rules CP Division 12 Updates</v>
      </c>
      <c r="I7" s="636"/>
      <c r="J7" s="636"/>
      <c r="K7" s="636"/>
      <c r="L7" s="636"/>
      <c r="M7" s="636"/>
      <c r="N7" s="636"/>
      <c r="O7" s="636"/>
      <c r="P7" s="636"/>
      <c r="Q7" s="636"/>
      <c r="R7" s="637"/>
      <c r="S7" s="267"/>
      <c r="T7" s="334"/>
      <c r="U7" s="27"/>
      <c r="V7" s="198"/>
      <c r="W7" s="25"/>
      <c r="X7" s="25"/>
      <c r="Y7" s="62" t="s">
        <v>0</v>
      </c>
      <c r="Z7" s="25"/>
      <c r="AA7" s="25"/>
      <c r="AB7" s="25"/>
      <c r="AC7" s="65"/>
      <c r="AD7" s="64"/>
      <c r="AE7" s="64"/>
      <c r="AF7" s="65"/>
      <c r="AG7" s="65"/>
      <c r="AH7" s="65"/>
      <c r="AI7" s="65"/>
      <c r="AJ7" s="65"/>
      <c r="AK7" s="65"/>
      <c r="AL7" s="65"/>
      <c r="AM7" s="65"/>
      <c r="AN7" s="65"/>
      <c r="AO7" s="65"/>
      <c r="AP7" s="65"/>
      <c r="AQ7" s="65"/>
      <c r="AR7" s="65"/>
      <c r="AS7" s="65"/>
      <c r="AT7" s="65"/>
    </row>
    <row r="8" spans="1:46" s="29" customFormat="1" hidden="1" outlineLevel="1">
      <c r="A8" s="342"/>
      <c r="B8" s="334"/>
      <c r="C8" s="266"/>
      <c r="D8" s="274" t="s">
        <v>72</v>
      </c>
      <c r="E8" s="40"/>
      <c r="F8" s="275"/>
      <c r="G8" s="396" t="s">
        <v>163</v>
      </c>
      <c r="H8" s="636" t="str">
        <f>P.1PlanYear&amp; " Rules "&amp;$P$6&amp;" "&amp;$G$5</f>
        <v>2013 Rules CP Div12</v>
      </c>
      <c r="I8" s="636"/>
      <c r="J8" s="636"/>
      <c r="K8" s="636"/>
      <c r="L8" s="636"/>
      <c r="M8" s="636"/>
      <c r="N8" s="636"/>
      <c r="O8" s="636"/>
      <c r="P8" s="636"/>
      <c r="Q8" s="636"/>
      <c r="R8" s="637"/>
      <c r="S8" s="267"/>
      <c r="T8" s="334"/>
      <c r="U8" s="27"/>
      <c r="V8" s="198"/>
      <c r="W8" s="25"/>
      <c r="X8" s="25"/>
      <c r="Y8"/>
      <c r="Z8" s="25"/>
      <c r="AA8" s="25"/>
      <c r="AB8" s="25"/>
      <c r="AC8" s="65"/>
      <c r="AD8" s="64"/>
      <c r="AE8" s="64"/>
      <c r="AF8" s="65"/>
      <c r="AG8" s="65"/>
      <c r="AH8" s="65"/>
      <c r="AI8" s="65"/>
      <c r="AJ8" s="65"/>
      <c r="AK8" s="65"/>
      <c r="AL8" s="65"/>
      <c r="AM8" s="65"/>
      <c r="AN8" s="65"/>
      <c r="AO8" s="65"/>
      <c r="AP8" s="65"/>
      <c r="AQ8" s="65"/>
      <c r="AR8" s="65"/>
      <c r="AS8" s="65"/>
      <c r="AT8" s="65"/>
    </row>
    <row r="9" spans="1:46" s="29" customFormat="1" hidden="1" outlineLevel="1">
      <c r="A9" s="342"/>
      <c r="B9" s="334"/>
      <c r="C9" s="266"/>
      <c r="D9" s="274" t="s">
        <v>72</v>
      </c>
      <c r="E9" s="40"/>
      <c r="F9" s="275"/>
      <c r="G9" s="396" t="s">
        <v>163</v>
      </c>
      <c r="H9" s="636" t="str">
        <f>P.1PlanYear&amp; " Rules "&amp;$P$6&amp;" "&amp;$G$5</f>
        <v>2013 Rules CP Div12</v>
      </c>
      <c r="I9" s="636"/>
      <c r="J9" s="636"/>
      <c r="K9" s="636"/>
      <c r="L9" s="636"/>
      <c r="M9" s="636"/>
      <c r="N9" s="636"/>
      <c r="O9" s="636"/>
      <c r="P9" s="636"/>
      <c r="Q9" s="636"/>
      <c r="R9" s="637"/>
      <c r="S9" s="267"/>
      <c r="T9" s="334"/>
      <c r="U9" s="27"/>
      <c r="V9" s="198"/>
      <c r="W9" s="25"/>
      <c r="X9" s="25"/>
      <c r="Y9"/>
      <c r="Z9" s="25"/>
      <c r="AA9" s="25"/>
      <c r="AB9" s="25"/>
      <c r="AC9" s="65"/>
      <c r="AD9" s="64"/>
      <c r="AE9" s="64"/>
      <c r="AF9" s="65"/>
      <c r="AG9" s="65"/>
      <c r="AH9" s="65"/>
      <c r="AI9" s="65"/>
      <c r="AJ9" s="65"/>
      <c r="AK9" s="65"/>
      <c r="AL9" s="65"/>
      <c r="AM9" s="65"/>
      <c r="AN9" s="65"/>
      <c r="AO9" s="65"/>
      <c r="AP9" s="65"/>
      <c r="AQ9" s="65"/>
      <c r="AR9" s="65"/>
      <c r="AS9" s="65"/>
      <c r="AT9" s="65"/>
    </row>
    <row r="10" spans="1:46" s="29" customFormat="1" hidden="1" outlineLevel="1">
      <c r="A10" s="342"/>
      <c r="B10" s="334"/>
      <c r="C10" s="266"/>
      <c r="D10" s="274" t="s">
        <v>72</v>
      </c>
      <c r="E10" s="40"/>
      <c r="F10" s="275"/>
      <c r="G10" s="396" t="s">
        <v>163</v>
      </c>
      <c r="H10" s="636" t="str">
        <f>P.1PlanYear&amp; " Rules "&amp;$P$6&amp;" "&amp;$G$5</f>
        <v>2013 Rules CP Div12</v>
      </c>
      <c r="I10" s="636"/>
      <c r="J10" s="636"/>
      <c r="K10" s="636"/>
      <c r="L10" s="636"/>
      <c r="M10" s="636"/>
      <c r="N10" s="636"/>
      <c r="O10" s="636"/>
      <c r="P10" s="636"/>
      <c r="Q10" s="636"/>
      <c r="R10" s="637"/>
      <c r="S10" s="267"/>
      <c r="T10" s="334"/>
      <c r="U10" s="27"/>
      <c r="V10" s="198"/>
      <c r="W10" s="25"/>
      <c r="X10" s="25"/>
      <c r="Y10"/>
      <c r="Z10" s="25"/>
      <c r="AA10" s="25"/>
      <c r="AB10" s="25"/>
      <c r="AC10" s="65"/>
      <c r="AD10" s="64"/>
      <c r="AE10" s="64"/>
      <c r="AF10" s="65"/>
      <c r="AG10" s="65"/>
      <c r="AH10" s="65"/>
      <c r="AI10" s="65"/>
      <c r="AJ10" s="65"/>
      <c r="AK10" s="65"/>
      <c r="AL10" s="65"/>
      <c r="AM10" s="65"/>
      <c r="AN10" s="65"/>
      <c r="AO10" s="65"/>
      <c r="AP10" s="65"/>
      <c r="AQ10" s="65"/>
      <c r="AR10" s="65"/>
      <c r="AS10" s="65"/>
      <c r="AT10" s="65"/>
    </row>
    <row r="11" spans="1:46" s="29" customFormat="1" ht="29.25" customHeight="1" collapsed="1">
      <c r="A11" s="342"/>
      <c r="B11" s="334"/>
      <c r="C11" s="266"/>
      <c r="D11" s="398" t="s">
        <v>48</v>
      </c>
      <c r="E11" s="399"/>
      <c r="F11" s="400"/>
      <c r="G11" s="401"/>
      <c r="H11" s="10"/>
      <c r="I11" s="10"/>
      <c r="J11" s="10"/>
      <c r="K11"/>
      <c r="L11"/>
      <c r="M11"/>
      <c r="N11"/>
      <c r="O11"/>
      <c r="P11"/>
      <c r="Q11"/>
      <c r="R11"/>
      <c r="S11" s="267"/>
      <c r="T11" s="334"/>
      <c r="U11" s="27"/>
      <c r="V11" s="198"/>
      <c r="W11" s="25"/>
      <c r="X11" s="25"/>
      <c r="Y11" s="45" t="s">
        <v>0</v>
      </c>
      <c r="Z11" s="25"/>
      <c r="AA11" s="25"/>
      <c r="AB11" s="25"/>
      <c r="AC11" s="65"/>
      <c r="AD11" s="64"/>
      <c r="AE11" s="64"/>
      <c r="AF11" s="65"/>
      <c r="AG11" s="65"/>
      <c r="AH11" s="65"/>
      <c r="AI11" s="65"/>
      <c r="AJ11" s="65"/>
      <c r="AK11" s="65"/>
      <c r="AL11" s="65"/>
      <c r="AM11" s="65"/>
      <c r="AN11" s="65"/>
      <c r="AO11" s="65"/>
      <c r="AP11" s="65"/>
      <c r="AQ11" s="65"/>
      <c r="AR11" s="65"/>
      <c r="AS11" s="65"/>
      <c r="AT11" s="65"/>
    </row>
    <row r="12" spans="1:46" s="29" customFormat="1">
      <c r="A12" s="342"/>
      <c r="B12" s="334"/>
      <c r="C12" s="266"/>
      <c r="D12" s="276" t="s">
        <v>43</v>
      </c>
      <c r="E12" s="40"/>
      <c r="F12" s="275"/>
      <c r="G12" s="635" t="str">
        <f>"RM-"&amp;G5</f>
        <v>RM-Div12</v>
      </c>
      <c r="H12" s="636"/>
      <c r="I12" s="636"/>
      <c r="J12" s="636"/>
      <c r="K12" s="636"/>
      <c r="L12" s="636"/>
      <c r="M12" s="636"/>
      <c r="N12" s="636"/>
      <c r="O12" s="636"/>
      <c r="P12" s="636"/>
      <c r="Q12" s="636"/>
      <c r="R12" s="637"/>
      <c r="S12" s="267"/>
      <c r="T12" s="334"/>
      <c r="U12" s="27"/>
      <c r="V12" s="397" t="s">
        <v>0</v>
      </c>
      <c r="W12" s="25"/>
      <c r="X12" s="25"/>
      <c r="Y12" s="45"/>
      <c r="Z12" s="25"/>
      <c r="AA12" s="25"/>
      <c r="AB12" s="25"/>
      <c r="AC12" s="65"/>
      <c r="AD12" s="64"/>
      <c r="AE12" s="64"/>
      <c r="AF12" s="65"/>
      <c r="AG12" s="65"/>
      <c r="AH12" s="65"/>
      <c r="AI12" s="65"/>
      <c r="AJ12" s="65"/>
      <c r="AK12" s="65"/>
      <c r="AL12" s="65"/>
      <c r="AM12" s="65"/>
      <c r="AN12" s="65"/>
      <c r="AO12" s="65"/>
      <c r="AP12" s="65"/>
      <c r="AQ12" s="65"/>
      <c r="AR12" s="65"/>
      <c r="AS12" s="65"/>
      <c r="AT12" s="65"/>
    </row>
    <row r="13" spans="1:46" s="29" customFormat="1">
      <c r="A13" s="342"/>
      <c r="B13" s="334"/>
      <c r="C13" s="266"/>
      <c r="D13" s="276" t="s">
        <v>7</v>
      </c>
      <c r="E13" s="40"/>
      <c r="F13" s="277"/>
      <c r="G13" s="635" t="str">
        <f>"RM-"&amp;G5&amp;" "&amp;P.1PlanYear</f>
        <v>RM-Div12 2013</v>
      </c>
      <c r="H13" s="636"/>
      <c r="I13" s="636"/>
      <c r="J13" s="636"/>
      <c r="K13" s="636"/>
      <c r="L13" s="636"/>
      <c r="M13" s="636"/>
      <c r="N13" s="636"/>
      <c r="O13" s="636"/>
      <c r="P13" s="636"/>
      <c r="Q13" s="636"/>
      <c r="R13" s="637"/>
      <c r="S13" s="267"/>
      <c r="T13" s="334"/>
      <c r="U13" s="27"/>
      <c r="V13" s="198"/>
      <c r="W13" s="25"/>
      <c r="X13" s="25"/>
      <c r="Y13" s="45"/>
      <c r="Z13" s="25"/>
      <c r="AA13" s="25"/>
      <c r="AB13" s="25"/>
      <c r="AC13" s="65"/>
      <c r="AD13" s="64"/>
      <c r="AE13" s="64"/>
      <c r="AF13" s="65"/>
      <c r="AG13" s="65"/>
      <c r="AH13" s="65"/>
      <c r="AI13" s="65"/>
      <c r="AJ13" s="65"/>
      <c r="AK13" s="65"/>
      <c r="AL13" s="65"/>
      <c r="AM13" s="65"/>
      <c r="AN13" s="65"/>
      <c r="AO13" s="65"/>
      <c r="AP13" s="65"/>
      <c r="AQ13" s="65"/>
      <c r="AR13" s="65"/>
      <c r="AS13" s="65"/>
      <c r="AT13" s="65"/>
    </row>
    <row r="14" spans="1:46" s="29" customFormat="1">
      <c r="A14" s="342"/>
      <c r="B14" s="334"/>
      <c r="C14" s="266"/>
      <c r="D14" s="276" t="s">
        <v>97</v>
      </c>
      <c r="E14" s="40"/>
      <c r="F14" s="278"/>
      <c r="G14" s="635" t="str">
        <f>G5</f>
        <v>Div12</v>
      </c>
      <c r="H14" s="636"/>
      <c r="I14" s="636"/>
      <c r="J14" s="636"/>
      <c r="K14" s="636"/>
      <c r="L14" s="636"/>
      <c r="M14" s="636"/>
      <c r="N14" s="636"/>
      <c r="O14" s="636"/>
      <c r="P14" s="636"/>
      <c r="Q14" s="636"/>
      <c r="R14" s="637"/>
      <c r="S14" s="267"/>
      <c r="T14" s="334"/>
      <c r="U14" s="27"/>
      <c r="V14" s="198"/>
      <c r="W14" s="25"/>
      <c r="X14" s="25"/>
      <c r="Y14" s="45"/>
      <c r="Z14" s="25"/>
      <c r="AA14" s="25"/>
      <c r="AB14" s="25"/>
      <c r="AC14" s="65"/>
      <c r="AD14" s="64"/>
      <c r="AE14" s="64"/>
      <c r="AF14" s="65"/>
      <c r="AG14" s="65"/>
      <c r="AH14" s="65"/>
      <c r="AI14" s="65"/>
      <c r="AJ14" s="65"/>
      <c r="AK14" s="65"/>
      <c r="AL14" s="65"/>
      <c r="AM14" s="65"/>
      <c r="AN14" s="65"/>
      <c r="AO14" s="65"/>
      <c r="AP14" s="65"/>
      <c r="AQ14" s="65"/>
      <c r="AR14" s="65"/>
      <c r="AS14" s="65"/>
      <c r="AT14" s="65"/>
    </row>
    <row r="15" spans="1:46" s="29" customFormat="1">
      <c r="A15" s="342"/>
      <c r="B15" s="334"/>
      <c r="C15" s="266"/>
      <c r="D15" s="276" t="s">
        <v>96</v>
      </c>
      <c r="E15" s="274"/>
      <c r="F15" s="4"/>
      <c r="G15" s="638" t="str">
        <f>"\\deqhq1\Rule_Development\2013 Plan"&amp;"\"&amp;G5</f>
        <v>\\deqhq1\Rule_Development\2013 Plan\Div12</v>
      </c>
      <c r="H15" s="639"/>
      <c r="I15" s="639"/>
      <c r="J15" s="639"/>
      <c r="K15" s="639"/>
      <c r="L15" s="639"/>
      <c r="M15" s="639"/>
      <c r="N15" s="639"/>
      <c r="O15" s="639"/>
      <c r="P15" s="639"/>
      <c r="Q15" s="639"/>
      <c r="R15" s="640"/>
      <c r="S15" s="267"/>
      <c r="T15" s="334"/>
      <c r="U15" s="27"/>
      <c r="V15" s="198"/>
      <c r="W15" s="25"/>
      <c r="X15" s="25"/>
      <c r="Y15" s="45"/>
      <c r="Z15" s="25"/>
      <c r="AA15" s="25"/>
      <c r="AB15" s="25"/>
      <c r="AC15" s="65"/>
      <c r="AD15" s="64"/>
      <c r="AE15" s="64"/>
      <c r="AF15" s="65"/>
      <c r="AG15" s="65"/>
      <c r="AH15" s="65"/>
      <c r="AI15" s="65"/>
      <c r="AJ15" s="65"/>
      <c r="AK15" s="65"/>
      <c r="AL15" s="65"/>
      <c r="AM15" s="65"/>
      <c r="AN15" s="65"/>
      <c r="AO15" s="65"/>
      <c r="AP15" s="65"/>
      <c r="AQ15" s="65"/>
      <c r="AR15" s="65"/>
      <c r="AS15" s="65"/>
      <c r="AT15" s="65"/>
    </row>
    <row r="16" spans="1:46" s="29" customFormat="1" ht="20.25" customHeight="1">
      <c r="A16" s="342"/>
      <c r="B16" s="334"/>
      <c r="C16" s="266"/>
      <c r="D16" s="276" t="s">
        <v>11</v>
      </c>
      <c r="E16" s="239"/>
      <c r="F16" s="279" t="s">
        <v>51</v>
      </c>
      <c r="G16" s="646" t="s">
        <v>598</v>
      </c>
      <c r="H16" s="647"/>
      <c r="I16" s="647"/>
      <c r="J16" s="647"/>
      <c r="K16" s="647"/>
      <c r="L16" s="647"/>
      <c r="M16" s="647"/>
      <c r="N16" s="647"/>
      <c r="O16" s="647"/>
      <c r="P16" s="647"/>
      <c r="Q16" s="647"/>
      <c r="R16" s="648"/>
      <c r="S16" s="267"/>
      <c r="T16" s="334"/>
      <c r="U16" s="27"/>
      <c r="V16" s="198"/>
      <c r="W16" s="25"/>
      <c r="X16" s="25"/>
      <c r="Y16" s="45"/>
      <c r="Z16" s="25"/>
      <c r="AA16" s="25"/>
      <c r="AB16" s="25"/>
      <c r="AC16" s="65"/>
      <c r="AD16" s="64"/>
      <c r="AE16" s="64"/>
      <c r="AF16" s="65"/>
      <c r="AG16" s="65"/>
      <c r="AH16" s="65"/>
      <c r="AI16" s="65"/>
      <c r="AJ16" s="65"/>
      <c r="AK16" s="65"/>
      <c r="AL16" s="65"/>
      <c r="AM16" s="65"/>
      <c r="AN16" s="65"/>
      <c r="AO16" s="65"/>
      <c r="AP16" s="65"/>
      <c r="AQ16" s="65"/>
      <c r="AR16" s="65"/>
      <c r="AS16" s="65"/>
      <c r="AT16" s="65"/>
    </row>
    <row r="17" spans="1:46" s="29" customFormat="1" ht="20.25" customHeight="1">
      <c r="A17" s="342"/>
      <c r="B17" s="334"/>
      <c r="C17" s="266"/>
      <c r="D17" s="274"/>
      <c r="E17" s="274"/>
      <c r="F17" s="280" t="s">
        <v>3</v>
      </c>
      <c r="G17" s="649" t="s">
        <v>166</v>
      </c>
      <c r="H17" s="650"/>
      <c r="I17" s="650"/>
      <c r="J17" s="650"/>
      <c r="K17" s="650"/>
      <c r="L17" s="650"/>
      <c r="M17" s="650"/>
      <c r="N17" s="650"/>
      <c r="O17" s="650"/>
      <c r="P17" s="650"/>
      <c r="Q17" s="650"/>
      <c r="R17" s="651"/>
      <c r="S17" s="267"/>
      <c r="T17" s="334"/>
      <c r="U17" s="27"/>
      <c r="V17" s="198"/>
      <c r="W17" s="25"/>
      <c r="X17" s="25"/>
      <c r="Y17" s="45"/>
      <c r="Z17" s="25"/>
      <c r="AA17" s="25"/>
      <c r="AB17" s="25"/>
      <c r="AC17" s="65"/>
      <c r="AD17" s="64"/>
      <c r="AE17" s="64"/>
      <c r="AF17" s="65"/>
      <c r="AG17" s="65"/>
      <c r="AH17" s="65"/>
      <c r="AI17" s="65"/>
      <c r="AJ17" s="65"/>
      <c r="AK17" s="65"/>
      <c r="AL17" s="65"/>
      <c r="AM17" s="65"/>
      <c r="AN17" s="65"/>
      <c r="AO17" s="65"/>
      <c r="AP17" s="65"/>
      <c r="AQ17" s="65"/>
      <c r="AR17" s="65"/>
      <c r="AS17" s="65"/>
      <c r="AT17" s="65"/>
    </row>
    <row r="18" spans="1:46" s="29" customFormat="1">
      <c r="A18" s="342"/>
      <c r="B18" s="334"/>
      <c r="C18" s="266"/>
      <c r="D18" s="8" t="s">
        <v>6</v>
      </c>
      <c r="E18" s="40"/>
      <c r="F18" s="68"/>
      <c r="G18" s="635" t="str">
        <f>G13&amp;" Design Team"</f>
        <v>RM-Div12 2013 Design Team</v>
      </c>
      <c r="H18" s="636"/>
      <c r="I18" s="636"/>
      <c r="J18" s="636"/>
      <c r="K18" s="636"/>
      <c r="L18" s="636"/>
      <c r="M18" s="636"/>
      <c r="N18" s="636"/>
      <c r="O18" s="636"/>
      <c r="P18" s="636"/>
      <c r="Q18" s="636"/>
      <c r="R18" s="637"/>
      <c r="S18" s="267"/>
      <c r="T18" s="334"/>
      <c r="U18" s="27"/>
      <c r="V18" s="198"/>
      <c r="W18" s="25"/>
      <c r="X18" s="25"/>
      <c r="Y18" s="45"/>
      <c r="Z18" s="25"/>
      <c r="AA18" s="25"/>
      <c r="AB18" s="25"/>
      <c r="AC18" s="65"/>
      <c r="AD18" s="64"/>
      <c r="AE18" s="64"/>
      <c r="AF18" s="65"/>
      <c r="AG18" s="65"/>
      <c r="AH18" s="65"/>
      <c r="AI18" s="65"/>
      <c r="AJ18" s="65"/>
      <c r="AK18" s="65"/>
      <c r="AL18" s="65"/>
      <c r="AM18" s="65"/>
      <c r="AN18" s="65"/>
      <c r="AO18" s="65"/>
      <c r="AP18" s="65"/>
      <c r="AQ18" s="65"/>
      <c r="AR18" s="65"/>
      <c r="AS18" s="65"/>
      <c r="AT18" s="65"/>
    </row>
    <row r="19" spans="1:46" s="29" customFormat="1">
      <c r="A19" s="342"/>
      <c r="B19" s="334"/>
      <c r="C19" s="266"/>
      <c r="D19" s="8" t="s">
        <v>167</v>
      </c>
      <c r="E19" s="40"/>
      <c r="F19" s="68"/>
      <c r="G19" s="396" t="s">
        <v>168</v>
      </c>
      <c r="H19" s="636" t="str">
        <f>P.1PlanYear&amp; " Rules "&amp;$P$6&amp;" "&amp;$G$5</f>
        <v>2013 Rules CP Div12</v>
      </c>
      <c r="I19" s="636"/>
      <c r="J19" s="636"/>
      <c r="K19" s="636"/>
      <c r="L19" s="636"/>
      <c r="M19" s="636"/>
      <c r="N19" s="636"/>
      <c r="O19" s="636"/>
      <c r="P19" s="636"/>
      <c r="Q19" s="636"/>
      <c r="R19" s="637"/>
      <c r="S19" s="267"/>
      <c r="T19" s="334"/>
      <c r="U19" s="27"/>
      <c r="V19" s="198"/>
      <c r="W19" s="25"/>
      <c r="X19" s="25"/>
      <c r="Y19" s="45"/>
      <c r="Z19" s="25"/>
      <c r="AA19" s="25"/>
      <c r="AB19" s="25"/>
      <c r="AC19" s="65"/>
      <c r="AD19" s="64"/>
      <c r="AE19" s="64"/>
      <c r="AF19" s="65"/>
      <c r="AG19" s="65"/>
      <c r="AH19" s="65"/>
      <c r="AI19" s="65"/>
      <c r="AJ19" s="65"/>
      <c r="AK19" s="65"/>
      <c r="AL19" s="65"/>
      <c r="AM19" s="65"/>
      <c r="AN19" s="65"/>
      <c r="AO19" s="65"/>
      <c r="AP19" s="65"/>
      <c r="AQ19" s="65"/>
      <c r="AR19" s="65"/>
      <c r="AS19" s="65"/>
      <c r="AT19" s="65"/>
    </row>
    <row r="20" spans="1:46" s="29" customFormat="1">
      <c r="A20" s="342"/>
      <c r="B20" s="334"/>
      <c r="C20" s="266"/>
      <c r="D20" s="9" t="s">
        <v>8</v>
      </c>
      <c r="E20" s="40"/>
      <c r="F20" s="8"/>
      <c r="G20" s="635" t="str">
        <f>"AdvisoryCommittee_"&amp;P6&amp;"_"&amp;P.1PlanYear&amp;"_"&amp;G5</f>
        <v>AdvisoryCommittee_CP_2013_Div12</v>
      </c>
      <c r="H20" s="636"/>
      <c r="I20" s="636"/>
      <c r="J20" s="636"/>
      <c r="K20" s="636"/>
      <c r="L20" s="636"/>
      <c r="M20" s="636"/>
      <c r="N20" s="636"/>
      <c r="O20" s="636"/>
      <c r="P20" s="636"/>
      <c r="Q20" s="636"/>
      <c r="R20" s="637"/>
      <c r="S20" s="267"/>
      <c r="T20" s="334"/>
      <c r="U20" s="27"/>
      <c r="V20" s="198"/>
      <c r="W20" s="25"/>
      <c r="X20" s="25"/>
      <c r="Y20" s="45"/>
      <c r="Z20" s="25"/>
      <c r="AA20" s="25"/>
      <c r="AB20" s="25"/>
      <c r="AC20" s="65"/>
      <c r="AD20" s="64"/>
      <c r="AE20" s="64"/>
      <c r="AF20" s="65"/>
      <c r="AG20" s="65"/>
      <c r="AH20" s="65"/>
      <c r="AI20" s="65"/>
      <c r="AJ20" s="65"/>
      <c r="AK20" s="65"/>
      <c r="AL20" s="65"/>
      <c r="AM20" s="65"/>
      <c r="AN20" s="65"/>
      <c r="AO20" s="65"/>
      <c r="AP20" s="65"/>
      <c r="AQ20" s="65"/>
      <c r="AR20" s="65"/>
      <c r="AS20" s="65"/>
      <c r="AT20" s="65"/>
    </row>
    <row r="21" spans="1:46" s="29" customFormat="1">
      <c r="A21" s="342"/>
      <c r="B21" s="334"/>
      <c r="C21" s="266"/>
      <c r="D21" s="8" t="s">
        <v>5</v>
      </c>
      <c r="E21" s="239"/>
      <c r="F21" s="8"/>
      <c r="G21" s="638" t="str">
        <f>"Comment-"&amp;SUBSTITUTE(H5," ","")&amp;"@deq.state.or.us"</f>
        <v>Comment-Division12Updates@deq.state.or.us</v>
      </c>
      <c r="H21" s="639"/>
      <c r="I21" s="639"/>
      <c r="J21" s="639"/>
      <c r="K21" s="639"/>
      <c r="L21" s="639"/>
      <c r="M21" s="639"/>
      <c r="N21" s="639"/>
      <c r="O21" s="639"/>
      <c r="P21" s="639"/>
      <c r="Q21" s="639"/>
      <c r="R21" s="640"/>
      <c r="S21" s="267"/>
      <c r="T21" s="334"/>
      <c r="U21" s="27"/>
      <c r="V21" s="198"/>
      <c r="W21" s="25"/>
      <c r="X21" s="25"/>
      <c r="Y21" s="45" t="s">
        <v>0</v>
      </c>
      <c r="Z21" s="25"/>
      <c r="AA21" s="25"/>
      <c r="AB21" s="25"/>
      <c r="AC21" s="65"/>
      <c r="AD21" s="64"/>
      <c r="AE21" s="64"/>
      <c r="AF21" s="65"/>
      <c r="AG21" s="65"/>
      <c r="AH21" s="65"/>
      <c r="AI21" s="65"/>
      <c r="AJ21" s="65"/>
      <c r="AK21" s="65"/>
      <c r="AL21" s="65"/>
      <c r="AM21" s="65"/>
      <c r="AN21" s="65"/>
      <c r="AO21" s="65"/>
      <c r="AP21" s="65"/>
      <c r="AQ21" s="65"/>
      <c r="AR21" s="65"/>
      <c r="AS21" s="65"/>
      <c r="AT21" s="65"/>
    </row>
    <row r="22" spans="1:46" s="29" customFormat="1" ht="30" customHeight="1">
      <c r="A22" s="342"/>
      <c r="B22" s="334"/>
      <c r="C22" s="233"/>
      <c r="D22" s="644" t="str">
        <f>"Please suggest process improvements to the "&amp;D2&amp;" worksheet."</f>
        <v>Please suggest process improvements to the Project record worksheet.</v>
      </c>
      <c r="E22" s="644"/>
      <c r="F22" s="644"/>
      <c r="G22" s="644"/>
      <c r="H22" s="644"/>
      <c r="I22" s="644"/>
      <c r="J22" s="644"/>
      <c r="K22" s="644"/>
      <c r="L22" s="644"/>
      <c r="M22" s="644"/>
      <c r="N22" s="268"/>
      <c r="O22" s="269"/>
      <c r="P22" s="270"/>
      <c r="Q22" s="271"/>
      <c r="R22" s="239"/>
      <c r="S22" s="147"/>
      <c r="T22" s="334"/>
      <c r="U22" s="272"/>
      <c r="V22" s="25"/>
      <c r="W22" s="25"/>
      <c r="X22" s="25"/>
      <c r="Y22" s="273"/>
      <c r="Z22" s="273"/>
      <c r="AA22" s="273"/>
      <c r="AB22" s="273"/>
      <c r="AC22" s="236"/>
      <c r="AD22" s="236"/>
      <c r="AE22" s="236"/>
      <c r="AF22" s="236"/>
      <c r="AG22" s="65"/>
      <c r="AH22" s="65"/>
      <c r="AI22" s="65"/>
      <c r="AJ22" s="65"/>
      <c r="AK22" s="65"/>
      <c r="AL22" s="65"/>
      <c r="AM22" s="65"/>
      <c r="AN22" s="65"/>
      <c r="AO22" s="65"/>
      <c r="AP22" s="65"/>
      <c r="AQ22" s="65"/>
      <c r="AR22" s="65"/>
      <c r="AS22" s="65"/>
      <c r="AT22" s="65"/>
    </row>
    <row r="23" spans="1:46" s="6" customFormat="1" ht="30.75" customHeight="1">
      <c r="A23" s="342"/>
      <c r="B23" s="334"/>
      <c r="C23" s="136"/>
      <c r="D23" s="641" t="s">
        <v>0</v>
      </c>
      <c r="E23" s="642"/>
      <c r="F23" s="642"/>
      <c r="G23" s="642"/>
      <c r="H23" s="642"/>
      <c r="I23" s="642"/>
      <c r="J23" s="642"/>
      <c r="K23" s="642"/>
      <c r="L23" s="642"/>
      <c r="M23" s="642"/>
      <c r="N23" s="642"/>
      <c r="O23" s="642"/>
      <c r="P23" s="642"/>
      <c r="Q23" s="642"/>
      <c r="R23" s="643"/>
      <c r="S23" s="148"/>
      <c r="T23" s="334"/>
      <c r="U23" s="67"/>
      <c r="V23" s="25"/>
      <c r="W23" s="25"/>
      <c r="X23" s="25"/>
      <c r="Y23" s="45"/>
      <c r="Z23" s="45"/>
      <c r="AA23" s="45"/>
      <c r="AB23" s="45"/>
      <c r="AC23" s="64"/>
      <c r="AD23" s="64"/>
      <c r="AE23" s="64"/>
      <c r="AF23" s="64"/>
      <c r="AG23" s="66"/>
      <c r="AH23" s="66"/>
      <c r="AI23" s="66"/>
      <c r="AJ23" s="66"/>
      <c r="AK23" s="66"/>
      <c r="AL23" s="66"/>
      <c r="AM23" s="66"/>
      <c r="AN23" s="66"/>
      <c r="AO23" s="66"/>
      <c r="AP23" s="66"/>
      <c r="AQ23" s="66"/>
      <c r="AR23" s="66"/>
      <c r="AS23" s="66"/>
      <c r="AT23" s="66"/>
    </row>
    <row r="24" spans="1:46" ht="18" customHeight="1">
      <c r="B24" s="334"/>
      <c r="C24" s="149"/>
      <c r="D24" s="12"/>
      <c r="E24" s="12"/>
      <c r="F24" s="150"/>
      <c r="G24" s="12"/>
      <c r="H24" s="12"/>
      <c r="I24" s="12"/>
      <c r="J24" s="12"/>
      <c r="K24" s="12"/>
      <c r="L24" s="12"/>
      <c r="M24" s="12"/>
      <c r="N24" s="12"/>
      <c r="O24" s="12"/>
      <c r="P24" s="12"/>
      <c r="Q24" s="12"/>
      <c r="R24" s="12"/>
      <c r="S24" s="151"/>
      <c r="T24" s="334"/>
      <c r="U24" s="45"/>
      <c r="V24" s="45"/>
      <c r="W24" s="45"/>
      <c r="X24" s="45"/>
      <c r="Y24" s="45"/>
      <c r="Z24" s="45"/>
      <c r="AA24" s="45"/>
      <c r="AB24" s="45"/>
      <c r="AC24" s="64"/>
      <c r="AD24" s="64"/>
      <c r="AE24" s="64"/>
      <c r="AF24" s="64"/>
      <c r="AG24" s="64"/>
      <c r="AH24" s="64"/>
      <c r="AI24" s="64"/>
      <c r="AJ24" s="64"/>
      <c r="AK24" s="64"/>
      <c r="AL24" s="64"/>
      <c r="AM24" s="64"/>
      <c r="AN24" s="64"/>
      <c r="AO24" s="64"/>
      <c r="AP24" s="64"/>
      <c r="AQ24" s="64"/>
      <c r="AR24" s="64"/>
      <c r="AS24" s="64"/>
      <c r="AT24" s="64"/>
    </row>
    <row r="25" spans="1:46" ht="14.25">
      <c r="B25" s="334"/>
      <c r="C25" s="334"/>
      <c r="D25" s="334"/>
      <c r="E25" s="334"/>
      <c r="F25" s="334"/>
      <c r="G25" s="334"/>
      <c r="H25" s="334"/>
      <c r="I25" s="334"/>
      <c r="J25" s="334"/>
      <c r="K25" s="334"/>
      <c r="L25" s="334"/>
      <c r="M25" s="334"/>
      <c r="N25" s="334"/>
      <c r="O25" s="334"/>
      <c r="P25" s="334"/>
      <c r="Q25" s="334"/>
      <c r="R25" s="334"/>
      <c r="S25" s="334"/>
      <c r="T25" s="334"/>
      <c r="U25" s="41"/>
      <c r="V25" s="45"/>
      <c r="W25" s="45"/>
      <c r="X25" s="45"/>
      <c r="Y25" s="45"/>
      <c r="Z25" s="45"/>
      <c r="AA25" s="45"/>
      <c r="AB25" s="45"/>
      <c r="AC25" s="64"/>
      <c r="AD25" s="64"/>
      <c r="AE25" s="64"/>
      <c r="AF25" s="64"/>
      <c r="AG25" s="64"/>
      <c r="AH25" s="64"/>
      <c r="AI25" s="64"/>
      <c r="AJ25" s="64"/>
      <c r="AK25" s="64"/>
      <c r="AL25" s="64"/>
      <c r="AM25" s="64"/>
      <c r="AN25" s="64"/>
      <c r="AO25" s="64"/>
      <c r="AP25" s="64"/>
      <c r="AQ25" s="64"/>
      <c r="AR25" s="64"/>
      <c r="AS25" s="64"/>
      <c r="AT25" s="64"/>
    </row>
    <row r="26" spans="1:46">
      <c r="C26" s="43"/>
      <c r="D26" s="45"/>
      <c r="E26" s="45"/>
      <c r="F26" s="25"/>
      <c r="G26" s="45"/>
      <c r="H26" s="45"/>
      <c r="I26" s="45"/>
      <c r="J26" s="45"/>
      <c r="K26" s="45"/>
      <c r="L26" s="45"/>
      <c r="M26" s="45"/>
      <c r="N26" s="45"/>
      <c r="O26" s="45"/>
      <c r="P26" s="45"/>
      <c r="Q26" s="45"/>
      <c r="R26" s="45"/>
      <c r="S26" s="45"/>
      <c r="T26" s="45"/>
      <c r="U26" s="41"/>
      <c r="V26" s="45"/>
      <c r="W26" s="45"/>
      <c r="X26" s="45"/>
      <c r="Y26" s="45"/>
      <c r="Z26" s="45"/>
      <c r="AA26" s="45"/>
      <c r="AB26" s="45"/>
    </row>
    <row r="27" spans="1:46">
      <c r="C27" s="43"/>
      <c r="D27" s="45"/>
      <c r="E27" s="45"/>
      <c r="F27" s="25"/>
      <c r="G27" s="45"/>
      <c r="H27" s="45"/>
      <c r="I27" s="45"/>
      <c r="J27" s="45"/>
      <c r="K27" s="45"/>
      <c r="L27" s="45"/>
      <c r="M27" s="45"/>
      <c r="N27" s="45"/>
      <c r="O27" s="45"/>
      <c r="P27" s="45"/>
      <c r="Q27" s="45"/>
      <c r="R27" s="45"/>
      <c r="S27" s="45"/>
      <c r="T27" s="45"/>
      <c r="U27" s="41"/>
      <c r="V27" s="45"/>
      <c r="W27" s="45"/>
      <c r="X27" s="45"/>
      <c r="Y27" s="45"/>
      <c r="Z27" s="45"/>
      <c r="AA27" s="45"/>
      <c r="AB27" s="45"/>
    </row>
    <row r="28" spans="1:46">
      <c r="C28" s="43"/>
      <c r="D28" s="45"/>
      <c r="E28" s="45"/>
      <c r="F28" s="25"/>
      <c r="G28" s="45"/>
      <c r="H28" s="45"/>
      <c r="I28" s="45"/>
      <c r="J28" s="45"/>
      <c r="K28" s="45"/>
      <c r="L28" s="45"/>
      <c r="M28" s="45"/>
      <c r="N28" s="45"/>
      <c r="O28" s="45"/>
      <c r="P28" s="45"/>
      <c r="Q28" s="45"/>
      <c r="R28" s="45"/>
      <c r="S28" s="45"/>
      <c r="T28" s="45"/>
      <c r="U28" s="41"/>
      <c r="V28" s="45"/>
      <c r="W28" s="45"/>
      <c r="X28" s="45"/>
      <c r="Y28" s="45"/>
      <c r="Z28" s="45"/>
      <c r="AA28" s="45"/>
      <c r="AB28" s="45"/>
    </row>
    <row r="29" spans="1:46">
      <c r="C29" s="43"/>
      <c r="D29" s="45"/>
      <c r="E29" s="45"/>
      <c r="F29" s="25"/>
      <c r="G29" s="45"/>
      <c r="H29" s="45"/>
      <c r="I29" s="45"/>
      <c r="J29" s="45"/>
      <c r="K29" s="45"/>
      <c r="L29" s="45"/>
      <c r="M29" s="45"/>
      <c r="N29" s="45"/>
      <c r="O29" s="45"/>
      <c r="P29" s="45"/>
      <c r="Q29" s="45"/>
      <c r="R29" s="45"/>
      <c r="S29" s="45"/>
      <c r="T29" s="45"/>
      <c r="U29" s="41"/>
      <c r="V29" s="45"/>
      <c r="W29" s="45"/>
      <c r="X29" s="45"/>
      <c r="Y29" s="45"/>
      <c r="Z29" s="45"/>
      <c r="AA29" s="45"/>
      <c r="AB29" s="45"/>
    </row>
    <row r="30" spans="1:46">
      <c r="C30" s="43"/>
      <c r="D30" s="45"/>
      <c r="E30" s="45"/>
      <c r="F30" s="25"/>
      <c r="G30" s="45"/>
      <c r="H30" s="45"/>
      <c r="I30" s="45"/>
      <c r="J30" s="45"/>
      <c r="K30" s="45"/>
      <c r="L30" s="45"/>
      <c r="M30" s="45"/>
      <c r="N30" s="45"/>
      <c r="O30" s="45"/>
      <c r="P30" s="45"/>
      <c r="Q30" s="45"/>
      <c r="R30" s="45"/>
      <c r="S30" s="45"/>
      <c r="T30" s="45"/>
      <c r="U30" s="41"/>
      <c r="V30" s="45"/>
      <c r="W30" s="45"/>
      <c r="X30" s="45"/>
      <c r="Y30" s="45"/>
      <c r="Z30" s="45"/>
      <c r="AA30" s="45"/>
      <c r="AB30" s="45"/>
    </row>
    <row r="31" spans="1:46">
      <c r="C31" s="43"/>
      <c r="D31" s="45"/>
      <c r="E31" s="45"/>
      <c r="F31" s="25"/>
      <c r="G31" s="45"/>
      <c r="H31" s="45"/>
      <c r="I31" s="45"/>
      <c r="J31" s="45"/>
      <c r="K31" s="45"/>
      <c r="L31" s="45"/>
      <c r="M31" s="45"/>
      <c r="N31" s="45"/>
      <c r="O31" s="45"/>
      <c r="P31" s="45"/>
      <c r="Q31" s="45"/>
      <c r="R31" s="45"/>
      <c r="S31" s="45"/>
      <c r="T31" s="45"/>
      <c r="U31" s="41"/>
      <c r="V31" s="45"/>
      <c r="W31" s="45"/>
      <c r="X31" s="45"/>
      <c r="Y31" s="45"/>
      <c r="Z31" s="45"/>
      <c r="AA31" s="45"/>
      <c r="AB31" s="45"/>
    </row>
    <row r="32" spans="1:46">
      <c r="C32" s="43"/>
      <c r="D32" s="45"/>
      <c r="E32" s="45"/>
      <c r="F32" s="25"/>
      <c r="G32" s="45"/>
      <c r="H32" s="45"/>
      <c r="I32" s="45"/>
      <c r="J32" s="45"/>
      <c r="K32" s="45"/>
      <c r="L32" s="45"/>
      <c r="M32" s="45"/>
      <c r="N32" s="45"/>
      <c r="O32" s="45"/>
      <c r="P32" s="45"/>
      <c r="Q32" s="45"/>
      <c r="R32" s="45"/>
      <c r="S32" s="45"/>
      <c r="T32" s="45"/>
      <c r="U32" s="41"/>
      <c r="V32" s="45"/>
      <c r="W32" s="45"/>
      <c r="X32" s="45"/>
      <c r="Y32" s="45"/>
      <c r="Z32" s="45"/>
      <c r="AA32" s="45"/>
      <c r="AB32" s="45"/>
    </row>
    <row r="33" spans="3:28">
      <c r="C33" s="43"/>
      <c r="D33" s="45"/>
      <c r="E33" s="45"/>
      <c r="F33" s="25"/>
      <c r="G33" s="45"/>
      <c r="H33" s="45"/>
      <c r="I33" s="45"/>
      <c r="J33" s="45"/>
      <c r="K33" s="45"/>
      <c r="L33" s="45"/>
      <c r="M33" s="45"/>
      <c r="N33" s="45"/>
      <c r="O33" s="45"/>
      <c r="P33" s="45"/>
      <c r="Q33" s="45"/>
      <c r="R33" s="45"/>
      <c r="S33" s="45"/>
      <c r="T33" s="45"/>
      <c r="U33" s="41"/>
      <c r="V33" s="45"/>
      <c r="W33" s="45"/>
      <c r="X33" s="45"/>
      <c r="Y33" s="45"/>
      <c r="Z33" s="45"/>
      <c r="AA33" s="45"/>
      <c r="AB33" s="45"/>
    </row>
    <row r="34" spans="3:28">
      <c r="C34" s="43"/>
      <c r="D34" s="45"/>
      <c r="E34" s="45"/>
      <c r="F34" s="25"/>
      <c r="G34" s="45"/>
      <c r="H34" s="45"/>
      <c r="I34" s="45"/>
      <c r="J34" s="45"/>
      <c r="K34" s="45"/>
      <c r="L34" s="45"/>
      <c r="M34" s="45"/>
      <c r="N34" s="45"/>
      <c r="O34" s="45"/>
      <c r="P34" s="45"/>
      <c r="Q34" s="45"/>
      <c r="R34" s="45"/>
      <c r="S34" s="45"/>
      <c r="T34" s="45"/>
      <c r="U34" s="41"/>
      <c r="V34" s="45"/>
      <c r="W34" s="45"/>
      <c r="X34" s="45"/>
      <c r="Y34" s="45"/>
      <c r="Z34" s="45"/>
      <c r="AA34" s="45"/>
      <c r="AB34" s="45"/>
    </row>
    <row r="35" spans="3:28">
      <c r="C35" s="43"/>
      <c r="D35" s="45"/>
      <c r="E35" s="45"/>
      <c r="F35" s="25"/>
      <c r="G35" s="45"/>
      <c r="H35" s="45"/>
      <c r="I35" s="45"/>
      <c r="J35" s="45"/>
      <c r="K35" s="45"/>
      <c r="L35" s="45"/>
      <c r="M35" s="45"/>
      <c r="N35" s="45"/>
      <c r="O35" s="45"/>
      <c r="P35" s="45"/>
      <c r="Q35" s="45"/>
      <c r="R35" s="45"/>
      <c r="S35" s="45"/>
      <c r="T35" s="45"/>
      <c r="U35" s="41"/>
      <c r="V35" s="45"/>
      <c r="W35" s="45"/>
      <c r="X35" s="45"/>
      <c r="Y35" s="45"/>
      <c r="Z35" s="45"/>
      <c r="AA35" s="45"/>
      <c r="AB35" s="45"/>
    </row>
    <row r="36" spans="3:28">
      <c r="C36" s="43"/>
      <c r="D36" s="45"/>
      <c r="E36" s="45"/>
      <c r="F36" s="25"/>
      <c r="G36" s="45"/>
      <c r="H36" s="45"/>
      <c r="I36" s="45"/>
      <c r="J36" s="45"/>
      <c r="K36" s="45"/>
      <c r="L36" s="45"/>
      <c r="M36" s="45"/>
      <c r="N36" s="45"/>
      <c r="O36" s="45"/>
      <c r="P36" s="45"/>
      <c r="Q36" s="45"/>
      <c r="R36" s="45"/>
      <c r="S36" s="45"/>
      <c r="T36" s="45"/>
      <c r="U36" s="41"/>
      <c r="V36" s="45"/>
      <c r="W36" s="45"/>
      <c r="X36" s="45"/>
      <c r="Y36" s="45"/>
      <c r="Z36" s="45"/>
      <c r="AA36" s="45"/>
      <c r="AB36" s="45"/>
    </row>
    <row r="37" spans="3:28">
      <c r="C37" s="43"/>
      <c r="D37" s="45"/>
      <c r="E37" s="45"/>
      <c r="F37" s="25"/>
      <c r="G37" s="45"/>
      <c r="H37" s="45"/>
      <c r="I37" s="45"/>
      <c r="J37" s="45"/>
      <c r="K37" s="45"/>
      <c r="L37" s="45"/>
      <c r="M37" s="45"/>
      <c r="N37" s="45"/>
      <c r="O37" s="45"/>
      <c r="P37" s="45"/>
      <c r="Q37" s="45"/>
      <c r="R37" s="45"/>
      <c r="S37" s="45"/>
      <c r="T37" s="45"/>
      <c r="U37" s="41"/>
      <c r="V37" s="45"/>
      <c r="W37" s="45"/>
      <c r="X37" s="45"/>
      <c r="Y37" s="45"/>
      <c r="Z37" s="45"/>
      <c r="AA37" s="45"/>
      <c r="AB37" s="45"/>
    </row>
    <row r="38" spans="3:28">
      <c r="C38" s="43"/>
      <c r="D38" s="45"/>
      <c r="E38" s="45"/>
      <c r="F38" s="25"/>
      <c r="G38" s="45"/>
      <c r="H38" s="45"/>
      <c r="I38" s="45"/>
      <c r="J38" s="45"/>
      <c r="K38" s="45"/>
      <c r="L38" s="45"/>
      <c r="M38" s="45"/>
      <c r="N38" s="45"/>
      <c r="O38" s="45"/>
      <c r="P38" s="45"/>
      <c r="Q38" s="45"/>
      <c r="R38" s="45"/>
      <c r="S38" s="45"/>
      <c r="T38" s="45"/>
      <c r="U38" s="41"/>
      <c r="V38" s="45"/>
      <c r="W38" s="45"/>
      <c r="X38" s="45"/>
      <c r="Y38" s="45"/>
      <c r="Z38" s="45"/>
      <c r="AA38" s="45"/>
      <c r="AB38" s="45"/>
    </row>
    <row r="39" spans="3:28">
      <c r="C39" s="43"/>
      <c r="D39" s="45"/>
      <c r="E39" s="45"/>
      <c r="F39" s="25"/>
      <c r="G39" s="45"/>
      <c r="H39" s="45"/>
      <c r="I39" s="45"/>
      <c r="J39" s="45"/>
      <c r="K39" s="45"/>
      <c r="L39" s="45"/>
      <c r="M39" s="45"/>
      <c r="N39" s="45"/>
      <c r="O39" s="45"/>
      <c r="P39" s="45"/>
      <c r="Q39" s="45"/>
      <c r="R39" s="45"/>
      <c r="S39" s="45"/>
      <c r="T39" s="45"/>
      <c r="U39" s="41"/>
      <c r="V39" s="45"/>
      <c r="W39" s="45"/>
      <c r="X39" s="45"/>
      <c r="Y39" s="45"/>
      <c r="Z39" s="45"/>
      <c r="AA39" s="45"/>
      <c r="AB39" s="45"/>
    </row>
    <row r="40" spans="3:28">
      <c r="C40" s="43"/>
      <c r="D40" s="45"/>
      <c r="E40" s="45"/>
      <c r="F40" s="25"/>
      <c r="G40" s="45"/>
      <c r="H40" s="45"/>
      <c r="I40" s="45"/>
      <c r="J40" s="45"/>
      <c r="K40" s="45"/>
      <c r="L40" s="45"/>
      <c r="M40" s="45"/>
      <c r="N40" s="45"/>
      <c r="O40" s="45"/>
      <c r="P40" s="45"/>
      <c r="Q40" s="45"/>
      <c r="R40" s="45"/>
      <c r="S40" s="45"/>
      <c r="T40" s="45"/>
      <c r="U40" s="41"/>
      <c r="V40" s="45"/>
      <c r="W40" s="45"/>
      <c r="X40" s="45"/>
      <c r="Y40" s="45"/>
      <c r="Z40" s="45"/>
      <c r="AA40" s="45"/>
      <c r="AB40" s="45"/>
    </row>
    <row r="41" spans="3:28">
      <c r="C41" s="43"/>
      <c r="D41" s="45"/>
      <c r="E41" s="45"/>
      <c r="F41" s="25"/>
      <c r="G41" s="45"/>
      <c r="H41" s="45"/>
      <c r="I41" s="45"/>
      <c r="J41" s="45"/>
      <c r="K41" s="45"/>
      <c r="L41" s="45"/>
      <c r="M41" s="45"/>
      <c r="N41" s="45"/>
      <c r="O41" s="45"/>
      <c r="P41" s="45"/>
      <c r="Q41" s="45"/>
      <c r="R41" s="45"/>
      <c r="S41" s="45"/>
      <c r="T41" s="45"/>
      <c r="U41" s="41"/>
      <c r="V41" s="45"/>
      <c r="W41" s="45"/>
      <c r="X41" s="45"/>
      <c r="Y41" s="45"/>
      <c r="Z41" s="45"/>
      <c r="AA41" s="45"/>
      <c r="AB41" s="45"/>
    </row>
    <row r="42" spans="3:28">
      <c r="C42" s="43"/>
      <c r="D42" s="45"/>
      <c r="E42" s="45"/>
      <c r="F42" s="25"/>
      <c r="G42" s="45"/>
      <c r="H42" s="45"/>
      <c r="I42" s="45"/>
      <c r="J42" s="45"/>
      <c r="K42" s="45"/>
      <c r="L42" s="45"/>
      <c r="M42" s="45"/>
      <c r="N42" s="45"/>
      <c r="O42" s="45"/>
      <c r="P42" s="45"/>
      <c r="Q42" s="45"/>
      <c r="R42" s="45"/>
      <c r="S42" s="45"/>
      <c r="T42" s="45"/>
      <c r="U42" s="41"/>
      <c r="V42" s="45"/>
      <c r="W42" s="45"/>
      <c r="X42" s="45"/>
      <c r="Y42" s="45"/>
      <c r="Z42" s="45"/>
      <c r="AA42" s="45"/>
      <c r="AB42" s="45"/>
    </row>
    <row r="43" spans="3:28">
      <c r="C43" s="43"/>
      <c r="D43" s="45"/>
      <c r="E43" s="45"/>
      <c r="F43" s="25"/>
      <c r="G43" s="45"/>
      <c r="H43" s="45"/>
      <c r="I43" s="45"/>
      <c r="J43" s="45"/>
      <c r="K43" s="45"/>
      <c r="L43" s="45"/>
      <c r="M43" s="45"/>
      <c r="N43" s="45"/>
      <c r="O43" s="45"/>
      <c r="P43" s="45"/>
      <c r="Q43" s="45"/>
      <c r="R43" s="45"/>
      <c r="S43" s="45"/>
      <c r="T43" s="45"/>
      <c r="U43" s="41"/>
      <c r="V43" s="45"/>
      <c r="W43" s="45"/>
      <c r="X43" s="45"/>
      <c r="Y43" s="45"/>
      <c r="Z43" s="45"/>
      <c r="AA43" s="45"/>
      <c r="AB43" s="45"/>
    </row>
    <row r="44" spans="3:28">
      <c r="C44" s="43"/>
      <c r="D44" s="45"/>
      <c r="E44" s="45"/>
      <c r="F44" s="25"/>
      <c r="G44" s="45"/>
      <c r="H44" s="45"/>
      <c r="I44" s="45"/>
      <c r="J44" s="45"/>
      <c r="K44" s="45"/>
      <c r="L44" s="45"/>
      <c r="M44" s="45"/>
      <c r="N44" s="45"/>
      <c r="O44" s="45"/>
      <c r="P44" s="45"/>
      <c r="Q44" s="45"/>
      <c r="R44" s="45"/>
      <c r="S44" s="45"/>
      <c r="T44" s="45"/>
      <c r="U44" s="41"/>
      <c r="V44" s="45"/>
      <c r="W44" s="45"/>
      <c r="X44" s="45"/>
      <c r="Y44" s="45"/>
      <c r="Z44" s="45"/>
      <c r="AA44" s="45"/>
      <c r="AB44" s="45"/>
    </row>
    <row r="45" spans="3:28">
      <c r="C45" s="43"/>
      <c r="D45" s="45"/>
      <c r="E45" s="45"/>
      <c r="F45" s="25"/>
      <c r="G45" s="45"/>
      <c r="H45" s="45"/>
      <c r="I45" s="45"/>
      <c r="J45" s="45"/>
      <c r="K45" s="45"/>
      <c r="L45" s="45"/>
      <c r="M45" s="45"/>
      <c r="N45" s="45"/>
      <c r="O45" s="45"/>
      <c r="P45" s="45"/>
      <c r="Q45" s="45"/>
      <c r="R45" s="45"/>
      <c r="S45" s="45"/>
      <c r="T45" s="45"/>
      <c r="U45" s="41"/>
      <c r="V45" s="45"/>
      <c r="W45" s="45"/>
      <c r="X45" s="45"/>
      <c r="Y45" s="45"/>
      <c r="Z45" s="45"/>
      <c r="AA45" s="45"/>
      <c r="AB45" s="45"/>
    </row>
    <row r="46" spans="3:28">
      <c r="C46" s="43"/>
      <c r="D46" s="45"/>
      <c r="E46" s="45"/>
      <c r="F46" s="25"/>
      <c r="G46" s="45"/>
      <c r="H46" s="45"/>
      <c r="I46" s="45"/>
      <c r="J46" s="45"/>
      <c r="K46" s="45"/>
      <c r="L46" s="45"/>
      <c r="M46" s="45"/>
      <c r="N46" s="45"/>
      <c r="O46" s="45"/>
      <c r="P46" s="45"/>
      <c r="Q46" s="45"/>
      <c r="R46" s="45"/>
      <c r="S46" s="45"/>
      <c r="T46" s="45"/>
      <c r="U46" s="41"/>
      <c r="V46" s="45"/>
      <c r="W46" s="45"/>
      <c r="X46" s="45"/>
      <c r="Y46" s="45"/>
      <c r="Z46" s="45"/>
      <c r="AA46" s="45"/>
      <c r="AB46" s="45"/>
    </row>
    <row r="47" spans="3:28">
      <c r="C47" s="43"/>
      <c r="D47" s="45"/>
      <c r="E47" s="45"/>
      <c r="F47" s="25"/>
      <c r="G47" s="45"/>
      <c r="H47" s="45"/>
      <c r="I47" s="45"/>
      <c r="J47" s="45"/>
      <c r="K47" s="45"/>
      <c r="L47" s="45"/>
      <c r="M47" s="45"/>
      <c r="N47" s="45"/>
      <c r="O47" s="45"/>
      <c r="P47" s="45"/>
      <c r="Q47" s="45"/>
      <c r="R47" s="45"/>
      <c r="S47" s="45"/>
      <c r="T47" s="45"/>
      <c r="U47" s="41"/>
      <c r="V47" s="45"/>
      <c r="W47" s="45"/>
      <c r="X47" s="45"/>
      <c r="Y47" s="45"/>
      <c r="Z47" s="45"/>
      <c r="AA47" s="45"/>
      <c r="AB47" s="45"/>
    </row>
    <row r="48" spans="3:28">
      <c r="C48" s="43"/>
      <c r="D48" s="45"/>
      <c r="E48" s="45"/>
      <c r="F48" s="25"/>
      <c r="G48" s="45"/>
      <c r="H48" s="45"/>
      <c r="I48" s="45"/>
      <c r="J48" s="45"/>
      <c r="K48" s="45"/>
      <c r="L48" s="45"/>
      <c r="M48" s="45"/>
      <c r="N48" s="45"/>
      <c r="O48" s="45"/>
      <c r="P48" s="45"/>
      <c r="Q48" s="45"/>
      <c r="R48" s="45"/>
      <c r="S48" s="45"/>
      <c r="T48" s="45"/>
      <c r="U48" s="41"/>
      <c r="V48" s="45"/>
      <c r="W48" s="45"/>
      <c r="X48" s="45"/>
      <c r="Y48" s="45"/>
      <c r="Z48" s="45"/>
      <c r="AA48" s="45"/>
      <c r="AB48" s="45"/>
    </row>
    <row r="49" spans="3:28">
      <c r="C49" s="43"/>
      <c r="D49" s="45"/>
      <c r="E49" s="45"/>
      <c r="F49" s="25"/>
      <c r="G49" s="45"/>
      <c r="H49" s="45"/>
      <c r="I49" s="45"/>
      <c r="J49" s="45"/>
      <c r="K49" s="45"/>
      <c r="L49" s="45"/>
      <c r="M49" s="45"/>
      <c r="N49" s="45"/>
      <c r="O49" s="45"/>
      <c r="P49" s="45"/>
      <c r="Q49" s="45"/>
      <c r="R49" s="45"/>
      <c r="S49" s="45"/>
      <c r="T49" s="45"/>
      <c r="U49" s="41"/>
      <c r="V49" s="45"/>
      <c r="W49" s="45"/>
      <c r="X49" s="45"/>
      <c r="Y49" s="45"/>
      <c r="Z49" s="45"/>
      <c r="AA49" s="45"/>
      <c r="AB49" s="45"/>
    </row>
    <row r="50" spans="3:28">
      <c r="C50" s="43"/>
      <c r="D50" s="45"/>
      <c r="E50" s="45"/>
      <c r="F50" s="25"/>
      <c r="G50" s="45"/>
      <c r="H50" s="45"/>
      <c r="I50" s="45"/>
      <c r="J50" s="45"/>
      <c r="K50" s="45"/>
      <c r="L50" s="45"/>
      <c r="M50" s="45"/>
      <c r="N50" s="45"/>
      <c r="O50" s="45"/>
      <c r="P50" s="45"/>
      <c r="Q50" s="45"/>
      <c r="R50" s="45"/>
      <c r="S50" s="45"/>
      <c r="T50" s="45"/>
      <c r="U50" s="41"/>
      <c r="V50" s="45"/>
      <c r="W50" s="45"/>
      <c r="X50" s="45"/>
      <c r="Y50" s="45"/>
      <c r="Z50" s="45"/>
      <c r="AA50" s="45"/>
      <c r="AB50" s="45"/>
    </row>
    <row r="51" spans="3:28">
      <c r="C51" s="43"/>
      <c r="D51" s="45"/>
      <c r="E51" s="45"/>
      <c r="F51" s="25"/>
      <c r="G51" s="45"/>
      <c r="H51" s="45"/>
      <c r="I51" s="45"/>
      <c r="J51" s="45"/>
      <c r="K51" s="45"/>
      <c r="L51" s="45"/>
      <c r="M51" s="45"/>
      <c r="N51" s="45"/>
      <c r="O51" s="45"/>
      <c r="P51" s="45"/>
      <c r="Q51" s="45"/>
      <c r="R51" s="45"/>
      <c r="S51" s="45"/>
      <c r="T51" s="45"/>
      <c r="U51" s="41"/>
      <c r="V51" s="45"/>
      <c r="W51" s="45"/>
      <c r="X51" s="45"/>
      <c r="Y51" s="45"/>
      <c r="Z51" s="45"/>
      <c r="AA51" s="45"/>
      <c r="AB51" s="45"/>
    </row>
    <row r="52" spans="3:28">
      <c r="C52" s="43"/>
      <c r="D52" s="45"/>
      <c r="E52" s="45"/>
      <c r="F52" s="25"/>
      <c r="G52" s="45"/>
      <c r="H52" s="45"/>
      <c r="I52" s="45"/>
      <c r="J52" s="45"/>
      <c r="K52" s="45"/>
      <c r="L52" s="45"/>
      <c r="M52" s="45"/>
      <c r="N52" s="45"/>
      <c r="O52" s="45"/>
      <c r="P52" s="45"/>
      <c r="Q52" s="45"/>
      <c r="R52" s="45"/>
      <c r="S52" s="45"/>
      <c r="T52" s="45"/>
      <c r="U52" s="41"/>
      <c r="V52" s="45"/>
      <c r="W52" s="45"/>
      <c r="X52" s="45"/>
      <c r="Y52" s="45"/>
      <c r="Z52" s="45"/>
      <c r="AA52" s="45"/>
      <c r="AB52" s="45"/>
    </row>
    <row r="53" spans="3:28">
      <c r="C53" s="43"/>
      <c r="D53" s="45"/>
      <c r="E53" s="45"/>
      <c r="F53" s="25"/>
      <c r="G53" s="45"/>
      <c r="H53" s="45"/>
      <c r="I53" s="45"/>
      <c r="J53" s="45"/>
      <c r="K53" s="45"/>
      <c r="L53" s="45"/>
      <c r="M53" s="45"/>
      <c r="N53" s="45"/>
      <c r="O53" s="45"/>
      <c r="P53" s="45"/>
      <c r="Q53" s="45"/>
      <c r="R53" s="45"/>
      <c r="S53" s="45"/>
      <c r="T53" s="45"/>
      <c r="U53" s="41"/>
      <c r="V53" s="45"/>
      <c r="W53" s="45"/>
      <c r="X53" s="45"/>
      <c r="Y53" s="45"/>
      <c r="Z53" s="45"/>
      <c r="AA53" s="45"/>
      <c r="AB53" s="45"/>
    </row>
    <row r="54" spans="3:28">
      <c r="C54" s="43"/>
      <c r="D54" s="45"/>
      <c r="E54" s="45"/>
      <c r="F54" s="25"/>
      <c r="G54" s="45"/>
      <c r="H54" s="45"/>
      <c r="I54" s="45"/>
      <c r="J54" s="45"/>
      <c r="K54" s="45"/>
      <c r="L54" s="45"/>
      <c r="M54" s="45"/>
      <c r="N54" s="45"/>
      <c r="O54" s="45"/>
      <c r="P54" s="45"/>
      <c r="Q54" s="45"/>
      <c r="R54" s="45"/>
      <c r="S54" s="45"/>
      <c r="T54" s="45"/>
      <c r="U54" s="41"/>
      <c r="V54" s="45"/>
      <c r="W54" s="45"/>
      <c r="X54" s="45"/>
      <c r="Y54" s="45"/>
      <c r="Z54" s="45"/>
      <c r="AA54" s="45"/>
      <c r="AB54" s="45"/>
    </row>
    <row r="55" spans="3:28">
      <c r="C55" s="43"/>
      <c r="D55" s="45"/>
      <c r="E55" s="45"/>
      <c r="F55" s="25"/>
      <c r="G55" s="45"/>
      <c r="H55" s="45"/>
      <c r="I55" s="45"/>
      <c r="J55" s="45"/>
      <c r="K55" s="45"/>
      <c r="L55" s="45"/>
      <c r="M55" s="45"/>
      <c r="N55" s="45"/>
      <c r="O55" s="45"/>
      <c r="P55" s="45"/>
      <c r="Q55" s="45"/>
      <c r="R55" s="45"/>
      <c r="S55" s="45"/>
      <c r="T55" s="45"/>
      <c r="U55" s="41"/>
      <c r="V55" s="45"/>
      <c r="W55" s="45"/>
      <c r="X55" s="45"/>
      <c r="Y55" s="45"/>
      <c r="Z55" s="45"/>
      <c r="AA55" s="45"/>
      <c r="AB55" s="45"/>
    </row>
    <row r="56" spans="3:28">
      <c r="T56" s="45"/>
      <c r="U56" s="41"/>
      <c r="V56" s="45"/>
      <c r="W56" s="45"/>
      <c r="X56" s="45"/>
      <c r="Y56" s="45"/>
      <c r="Z56" s="45"/>
      <c r="AA56" s="45"/>
      <c r="AB56" s="45"/>
    </row>
    <row r="57" spans="3:28">
      <c r="T57" s="45"/>
      <c r="U57" s="41"/>
      <c r="V57" s="45"/>
      <c r="W57" s="45"/>
      <c r="X57" s="45"/>
      <c r="Y57" s="45"/>
      <c r="Z57" s="45"/>
      <c r="AA57" s="45"/>
      <c r="AB57" s="45"/>
    </row>
    <row r="58" spans="3:28">
      <c r="T58" s="45"/>
      <c r="U58" s="41"/>
      <c r="V58" s="45"/>
      <c r="W58" s="45"/>
      <c r="X58" s="45"/>
      <c r="Y58" s="45"/>
      <c r="Z58" s="45"/>
      <c r="AA58" s="45"/>
      <c r="AB58" s="45"/>
    </row>
    <row r="59" spans="3:28">
      <c r="T59" s="45"/>
      <c r="U59" s="41"/>
      <c r="V59" s="45"/>
      <c r="W59" s="45"/>
      <c r="X59" s="45"/>
      <c r="Y59" s="45"/>
      <c r="Z59" s="45"/>
      <c r="AA59" s="45"/>
      <c r="AB59" s="45"/>
    </row>
    <row r="60" spans="3:28">
      <c r="T60" s="45"/>
      <c r="U60" s="41"/>
      <c r="V60" s="45"/>
      <c r="W60" s="45"/>
      <c r="X60" s="45"/>
      <c r="Y60" s="45"/>
      <c r="Z60" s="45"/>
      <c r="AA60" s="45"/>
      <c r="AB60" s="45"/>
    </row>
    <row r="61" spans="3:28">
      <c r="T61" s="45"/>
      <c r="U61" s="41"/>
      <c r="V61" s="45"/>
      <c r="W61" s="45"/>
      <c r="X61" s="45"/>
      <c r="Y61" s="45"/>
      <c r="Z61" s="45"/>
      <c r="AA61" s="45"/>
      <c r="AB61" s="45"/>
    </row>
    <row r="62" spans="3:28">
      <c r="T62" s="45"/>
      <c r="U62" s="41"/>
      <c r="V62" s="45"/>
      <c r="W62" s="45"/>
      <c r="X62" s="45"/>
      <c r="Y62" s="45"/>
      <c r="Z62" s="45"/>
      <c r="AA62" s="45"/>
      <c r="AB62" s="45"/>
    </row>
    <row r="63" spans="3:28">
      <c r="T63" s="45"/>
      <c r="U63" s="41"/>
      <c r="V63" s="45"/>
      <c r="W63" s="45"/>
      <c r="X63" s="45"/>
      <c r="Y63" s="45"/>
      <c r="Z63" s="45"/>
      <c r="AA63" s="45"/>
      <c r="AB63" s="45"/>
    </row>
    <row r="64" spans="3:28">
      <c r="T64" s="45"/>
      <c r="U64" s="41"/>
      <c r="V64" s="45"/>
      <c r="W64" s="45"/>
      <c r="X64" s="45"/>
      <c r="Y64" s="45"/>
      <c r="Z64" s="45"/>
      <c r="AA64" s="45"/>
      <c r="AB64" s="45"/>
    </row>
    <row r="65" spans="20:28">
      <c r="T65" s="45"/>
      <c r="U65" s="41"/>
      <c r="V65" s="45"/>
      <c r="W65" s="45"/>
      <c r="X65" s="45"/>
      <c r="Y65" s="45"/>
      <c r="Z65" s="45"/>
      <c r="AA65" s="45"/>
      <c r="AB65" s="45"/>
    </row>
    <row r="66" spans="20:28">
      <c r="T66" s="45"/>
      <c r="U66" s="41"/>
      <c r="V66" s="45"/>
      <c r="W66" s="45"/>
      <c r="X66" s="45"/>
      <c r="Y66" s="45"/>
      <c r="Z66" s="45"/>
      <c r="AA66" s="45"/>
      <c r="AB66" s="45"/>
    </row>
    <row r="67" spans="20:28">
      <c r="T67" s="45"/>
      <c r="U67" s="41"/>
      <c r="V67" s="45"/>
      <c r="W67" s="45"/>
      <c r="X67" s="45"/>
      <c r="Y67" s="45"/>
      <c r="Z67" s="45"/>
      <c r="AA67" s="45"/>
      <c r="AB67" s="45"/>
    </row>
    <row r="68" spans="20:28">
      <c r="T68" s="45"/>
      <c r="U68" s="41"/>
      <c r="V68" s="45"/>
      <c r="W68" s="45"/>
      <c r="X68" s="45"/>
      <c r="Y68" s="45"/>
      <c r="Z68" s="45"/>
      <c r="AA68" s="45"/>
      <c r="AB68" s="45"/>
    </row>
    <row r="69" spans="20:28">
      <c r="T69" s="45"/>
      <c r="U69" s="41"/>
      <c r="V69" s="45"/>
      <c r="W69" s="45"/>
      <c r="X69" s="45"/>
      <c r="Y69" s="45"/>
      <c r="Z69" s="45"/>
      <c r="AA69" s="45"/>
      <c r="AB69" s="45"/>
    </row>
    <row r="70" spans="20:28">
      <c r="T70" s="45"/>
      <c r="U70" s="41"/>
      <c r="V70" s="45"/>
      <c r="W70" s="45"/>
      <c r="X70" s="45"/>
      <c r="Y70" s="45"/>
      <c r="Z70" s="45"/>
      <c r="AA70" s="45"/>
      <c r="AB70" s="45"/>
    </row>
    <row r="71" spans="20:28">
      <c r="T71" s="45"/>
      <c r="U71" s="41"/>
      <c r="V71" s="45"/>
      <c r="W71" s="45"/>
      <c r="X71" s="45"/>
      <c r="Y71" s="45"/>
      <c r="Z71" s="45"/>
      <c r="AA71" s="45"/>
      <c r="AB71" s="45"/>
    </row>
    <row r="72" spans="20:28">
      <c r="T72" s="45"/>
      <c r="U72" s="41"/>
      <c r="V72" s="45"/>
      <c r="W72" s="45"/>
      <c r="X72" s="45"/>
      <c r="Y72" s="45"/>
      <c r="Z72" s="45"/>
      <c r="AA72" s="45"/>
      <c r="AB72" s="45"/>
    </row>
    <row r="73" spans="20:28">
      <c r="T73" s="45"/>
      <c r="U73" s="41"/>
      <c r="V73" s="45"/>
      <c r="W73" s="45"/>
      <c r="X73" s="45"/>
      <c r="Y73" s="45"/>
      <c r="Z73" s="45"/>
      <c r="AA73" s="45"/>
      <c r="AB73" s="45"/>
    </row>
    <row r="74" spans="20:28">
      <c r="T74" s="45"/>
      <c r="U74" s="41"/>
      <c r="V74" s="45"/>
      <c r="W74" s="45"/>
      <c r="X74" s="45"/>
      <c r="Y74" s="45"/>
      <c r="Z74" s="45"/>
      <c r="AA74" s="45"/>
      <c r="AB74" s="45"/>
    </row>
    <row r="75" spans="20:28">
      <c r="T75" s="45"/>
      <c r="U75" s="41"/>
      <c r="V75" s="45"/>
      <c r="W75" s="45"/>
      <c r="X75" s="45"/>
      <c r="Y75" s="45"/>
      <c r="Z75" s="45"/>
      <c r="AA75" s="45"/>
      <c r="AB75" s="45"/>
    </row>
    <row r="76" spans="20:28">
      <c r="T76" s="45"/>
      <c r="U76" s="41"/>
      <c r="V76" s="45"/>
      <c r="W76" s="45"/>
      <c r="X76" s="45"/>
      <c r="Y76" s="45"/>
      <c r="Z76" s="45"/>
      <c r="AA76" s="45"/>
      <c r="AB76" s="45"/>
    </row>
    <row r="77" spans="20:28">
      <c r="T77" s="45"/>
      <c r="U77" s="41"/>
      <c r="V77" s="45"/>
      <c r="W77" s="45"/>
      <c r="X77" s="45"/>
      <c r="Y77" s="45"/>
      <c r="Z77" s="45"/>
      <c r="AA77" s="45"/>
      <c r="AB77" s="45"/>
    </row>
    <row r="78" spans="20:28">
      <c r="T78" s="45"/>
      <c r="U78" s="41"/>
      <c r="V78" s="45"/>
      <c r="W78" s="45"/>
      <c r="X78" s="45"/>
      <c r="Y78" s="45"/>
      <c r="Z78" s="45"/>
      <c r="AA78" s="45"/>
      <c r="AB78" s="45"/>
    </row>
    <row r="79" spans="20:28">
      <c r="T79" s="45"/>
      <c r="U79" s="41"/>
      <c r="V79" s="45"/>
      <c r="W79" s="45"/>
      <c r="X79" s="45"/>
      <c r="Y79" s="45"/>
      <c r="Z79" s="45"/>
      <c r="AA79" s="45"/>
      <c r="AB79" s="45"/>
    </row>
    <row r="80" spans="20:28">
      <c r="T80" s="45"/>
      <c r="U80" s="41"/>
      <c r="V80" s="45"/>
      <c r="W80" s="45"/>
      <c r="X80" s="45"/>
      <c r="Y80" s="45"/>
      <c r="Z80" s="45"/>
      <c r="AA80" s="45"/>
      <c r="AB80" s="45"/>
    </row>
    <row r="81" spans="20:28">
      <c r="T81" s="45"/>
      <c r="U81" s="41"/>
      <c r="V81" s="45"/>
      <c r="W81" s="45"/>
      <c r="X81" s="45"/>
      <c r="Y81" s="45"/>
      <c r="Z81" s="45"/>
      <c r="AA81" s="45"/>
      <c r="AB81" s="45"/>
    </row>
    <row r="82" spans="20:28">
      <c r="T82" s="45"/>
      <c r="U82" s="41"/>
      <c r="V82" s="45"/>
      <c r="W82" s="45"/>
      <c r="X82" s="45"/>
      <c r="Y82" s="45"/>
      <c r="Z82" s="45"/>
      <c r="AA82" s="45"/>
      <c r="AB82" s="45"/>
    </row>
    <row r="83" spans="20:28">
      <c r="T83" s="45"/>
      <c r="U83" s="41"/>
      <c r="V83" s="45"/>
      <c r="W83" s="45"/>
      <c r="X83" s="45"/>
      <c r="Y83" s="45"/>
      <c r="Z83" s="45"/>
      <c r="AA83" s="45"/>
      <c r="AB83" s="45"/>
    </row>
    <row r="84" spans="20:28">
      <c r="T84" s="45"/>
      <c r="U84" s="41"/>
      <c r="V84" s="45"/>
      <c r="W84" s="45"/>
      <c r="X84" s="45"/>
      <c r="Y84" s="45"/>
      <c r="Z84" s="45"/>
      <c r="AA84" s="45"/>
      <c r="AB84" s="45"/>
    </row>
    <row r="85" spans="20:28">
      <c r="T85" s="45"/>
      <c r="U85" s="41"/>
      <c r="V85" s="45"/>
      <c r="W85" s="45"/>
      <c r="X85" s="45"/>
      <c r="Y85" s="45"/>
      <c r="Z85" s="45"/>
      <c r="AA85" s="45"/>
      <c r="AB85" s="45"/>
    </row>
    <row r="86" spans="20:28">
      <c r="T86" s="45"/>
      <c r="U86" s="41"/>
      <c r="V86" s="45"/>
      <c r="W86" s="45"/>
      <c r="X86" s="45"/>
      <c r="Y86" s="45"/>
      <c r="Z86" s="45"/>
      <c r="AA86" s="45"/>
      <c r="AB86" s="45"/>
    </row>
    <row r="87" spans="20:28">
      <c r="T87" s="45"/>
      <c r="U87" s="41"/>
      <c r="V87" s="45"/>
      <c r="W87" s="45"/>
      <c r="X87" s="45"/>
      <c r="Y87" s="45"/>
      <c r="Z87" s="45"/>
      <c r="AA87" s="45"/>
      <c r="AB87" s="45"/>
    </row>
    <row r="88" spans="20:28">
      <c r="T88" s="45"/>
      <c r="U88" s="41"/>
      <c r="V88" s="45"/>
      <c r="W88" s="45"/>
      <c r="X88" s="45"/>
      <c r="Y88" s="45"/>
      <c r="Z88" s="45"/>
      <c r="AA88" s="45"/>
      <c r="AB88" s="45"/>
    </row>
    <row r="89" spans="20:28">
      <c r="T89" s="45"/>
      <c r="U89" s="41"/>
      <c r="V89" s="45"/>
      <c r="W89" s="45"/>
      <c r="X89" s="45"/>
      <c r="Y89" s="45"/>
      <c r="Z89" s="45"/>
      <c r="AA89" s="45"/>
      <c r="AB89" s="45"/>
    </row>
    <row r="90" spans="20:28">
      <c r="T90" s="45"/>
      <c r="U90" s="41"/>
      <c r="V90" s="45"/>
      <c r="W90" s="45"/>
      <c r="X90" s="45"/>
      <c r="Y90" s="45"/>
      <c r="Z90" s="45"/>
      <c r="AA90" s="45"/>
      <c r="AB90" s="45"/>
    </row>
    <row r="91" spans="20:28">
      <c r="T91" s="45"/>
      <c r="U91" s="41"/>
      <c r="V91" s="45"/>
      <c r="W91" s="45"/>
      <c r="X91" s="45"/>
      <c r="Y91" s="45"/>
      <c r="Z91" s="45"/>
      <c r="AA91" s="45"/>
      <c r="AB91" s="45"/>
    </row>
    <row r="92" spans="20:28">
      <c r="T92" s="45"/>
      <c r="U92" s="41"/>
      <c r="V92" s="45"/>
      <c r="W92" s="45"/>
      <c r="X92" s="45"/>
      <c r="Y92" s="45"/>
      <c r="Z92" s="45"/>
      <c r="AA92" s="45"/>
      <c r="AB92" s="45"/>
    </row>
    <row r="93" spans="20:28">
      <c r="T93" s="45"/>
      <c r="U93" s="41"/>
      <c r="V93" s="45"/>
      <c r="W93" s="45"/>
      <c r="X93" s="45"/>
      <c r="Y93" s="45"/>
      <c r="Z93" s="45"/>
      <c r="AA93" s="45"/>
      <c r="AB93" s="45"/>
    </row>
    <row r="94" spans="20:28">
      <c r="T94" s="45"/>
      <c r="U94" s="41"/>
      <c r="V94" s="45"/>
      <c r="W94" s="45"/>
      <c r="X94" s="45"/>
      <c r="Y94" s="45"/>
      <c r="Z94" s="45"/>
      <c r="AA94" s="45"/>
      <c r="AB94" s="45"/>
    </row>
    <row r="95" spans="20:28">
      <c r="T95" s="45"/>
      <c r="U95" s="41"/>
      <c r="V95" s="45"/>
      <c r="W95" s="45"/>
      <c r="X95" s="45"/>
      <c r="Y95" s="45"/>
      <c r="Z95" s="45"/>
      <c r="AA95" s="45"/>
      <c r="AB95" s="45"/>
    </row>
    <row r="96" spans="20:28">
      <c r="T96" s="45"/>
      <c r="U96" s="41"/>
      <c r="V96" s="45"/>
      <c r="W96" s="45"/>
      <c r="X96" s="45"/>
      <c r="Y96" s="45"/>
      <c r="Z96" s="45"/>
      <c r="AA96" s="45"/>
      <c r="AB96" s="45"/>
    </row>
    <row r="97" spans="20:28">
      <c r="T97" s="45"/>
      <c r="U97" s="41"/>
      <c r="V97" s="45"/>
      <c r="W97" s="45"/>
      <c r="X97" s="45"/>
      <c r="Y97" s="45"/>
      <c r="Z97" s="45"/>
      <c r="AA97" s="45"/>
      <c r="AB97" s="45"/>
    </row>
    <row r="98" spans="20:28">
      <c r="T98" s="45"/>
      <c r="U98" s="41"/>
      <c r="V98" s="45"/>
      <c r="W98" s="45"/>
      <c r="X98" s="45"/>
      <c r="Y98" s="45"/>
      <c r="Z98" s="45"/>
      <c r="AA98" s="45"/>
      <c r="AB98" s="45"/>
    </row>
    <row r="99" spans="20:28">
      <c r="T99" s="45"/>
      <c r="U99" s="41"/>
      <c r="V99" s="45"/>
      <c r="W99" s="45"/>
      <c r="X99" s="45"/>
      <c r="Y99" s="45"/>
      <c r="Z99" s="45"/>
      <c r="AA99" s="45"/>
      <c r="AB99" s="45"/>
    </row>
    <row r="100" spans="20:28">
      <c r="T100" s="45"/>
      <c r="U100" s="41"/>
      <c r="V100" s="45"/>
      <c r="W100" s="45"/>
      <c r="X100" s="45"/>
      <c r="Y100" s="45"/>
      <c r="Z100" s="45"/>
      <c r="AA100" s="45"/>
      <c r="AB100" s="45"/>
    </row>
    <row r="101" spans="20:28">
      <c r="T101" s="45"/>
      <c r="U101" s="41"/>
      <c r="V101" s="45"/>
      <c r="W101" s="45"/>
      <c r="X101" s="45"/>
      <c r="Y101" s="45"/>
      <c r="Z101" s="45"/>
      <c r="AA101" s="45"/>
      <c r="AB101" s="45"/>
    </row>
    <row r="102" spans="20:28">
      <c r="T102" s="45"/>
      <c r="U102" s="41"/>
      <c r="V102" s="45"/>
      <c r="W102" s="45"/>
      <c r="X102" s="45"/>
      <c r="Y102" s="45"/>
      <c r="Z102" s="45"/>
      <c r="AA102" s="45"/>
      <c r="AB102" s="45"/>
    </row>
    <row r="103" spans="20:28">
      <c r="T103" s="45"/>
      <c r="U103" s="41"/>
      <c r="V103" s="45"/>
      <c r="W103" s="45"/>
      <c r="X103" s="45"/>
      <c r="Y103" s="45"/>
      <c r="Z103" s="45"/>
      <c r="AA103" s="45"/>
      <c r="AB103" s="45"/>
    </row>
    <row r="104" spans="20:28">
      <c r="T104" s="45"/>
      <c r="U104" s="41"/>
      <c r="V104" s="45"/>
      <c r="W104" s="45"/>
      <c r="X104" s="45"/>
      <c r="Y104" s="45"/>
      <c r="Z104" s="45"/>
      <c r="AA104" s="45"/>
      <c r="AB104" s="45"/>
    </row>
    <row r="105" spans="20:28">
      <c r="T105" s="45"/>
      <c r="U105" s="41"/>
      <c r="V105" s="45"/>
      <c r="W105" s="45"/>
      <c r="X105" s="45"/>
      <c r="Y105" s="45"/>
      <c r="Z105" s="45"/>
      <c r="AA105" s="45"/>
      <c r="AB105" s="45"/>
    </row>
    <row r="106" spans="20:28">
      <c r="T106" s="45"/>
      <c r="U106" s="41"/>
      <c r="V106" s="45"/>
      <c r="W106" s="45"/>
      <c r="X106" s="45"/>
      <c r="Y106" s="45"/>
      <c r="Z106" s="45"/>
      <c r="AA106" s="45"/>
      <c r="AB106" s="45"/>
    </row>
    <row r="107" spans="20:28">
      <c r="T107" s="45"/>
      <c r="U107" s="41"/>
      <c r="V107" s="45"/>
      <c r="W107" s="45"/>
      <c r="X107" s="45"/>
      <c r="Y107" s="45"/>
      <c r="Z107" s="45"/>
      <c r="AA107" s="45"/>
      <c r="AB107" s="45"/>
    </row>
    <row r="108" spans="20:28">
      <c r="T108" s="45"/>
      <c r="U108" s="41"/>
      <c r="V108" s="45"/>
      <c r="W108" s="45"/>
      <c r="X108" s="45"/>
      <c r="Y108" s="45"/>
      <c r="Z108" s="45"/>
      <c r="AA108" s="45"/>
      <c r="AB108" s="45"/>
    </row>
    <row r="109" spans="20:28">
      <c r="T109" s="45"/>
      <c r="U109" s="41"/>
      <c r="V109" s="45"/>
      <c r="W109" s="45"/>
      <c r="X109" s="45"/>
      <c r="Y109" s="45"/>
      <c r="Z109" s="45"/>
      <c r="AA109" s="45"/>
      <c r="AB109" s="45"/>
    </row>
    <row r="110" spans="20:28">
      <c r="T110" s="45"/>
      <c r="U110" s="41"/>
      <c r="V110" s="45"/>
      <c r="W110" s="45"/>
      <c r="X110" s="45"/>
      <c r="Y110" s="45"/>
      <c r="Z110" s="45"/>
      <c r="AA110" s="45"/>
      <c r="AB110" s="45"/>
    </row>
    <row r="111" spans="20:28">
      <c r="T111" s="45"/>
      <c r="U111" s="41"/>
      <c r="V111" s="45"/>
      <c r="W111" s="45"/>
      <c r="X111" s="45"/>
      <c r="Y111" s="45"/>
      <c r="Z111" s="45"/>
      <c r="AA111" s="45"/>
      <c r="AB111" s="45"/>
    </row>
    <row r="112" spans="20:28">
      <c r="T112" s="45"/>
      <c r="U112" s="41"/>
      <c r="V112" s="45"/>
      <c r="W112" s="45"/>
      <c r="X112" s="45"/>
      <c r="Y112" s="45"/>
      <c r="Z112" s="45"/>
      <c r="AA112" s="45"/>
      <c r="AB112" s="45"/>
    </row>
    <row r="113" spans="20:28">
      <c r="T113" s="45"/>
      <c r="U113" s="41"/>
      <c r="V113" s="45"/>
      <c r="W113" s="45"/>
      <c r="X113" s="45"/>
      <c r="Y113" s="45"/>
      <c r="Z113" s="45"/>
      <c r="AA113" s="45"/>
      <c r="AB113" s="45"/>
    </row>
    <row r="114" spans="20:28">
      <c r="T114" s="45"/>
      <c r="U114" s="41"/>
      <c r="V114" s="45"/>
      <c r="W114" s="45"/>
      <c r="X114" s="45"/>
      <c r="Y114" s="45"/>
      <c r="Z114" s="45"/>
      <c r="AA114" s="45"/>
      <c r="AB114" s="45"/>
    </row>
    <row r="115" spans="20:28">
      <c r="T115" s="45"/>
      <c r="U115" s="41"/>
      <c r="V115" s="45"/>
      <c r="W115" s="45"/>
      <c r="X115" s="45"/>
      <c r="Y115" s="45"/>
      <c r="Z115" s="45"/>
      <c r="AA115" s="45"/>
      <c r="AB115" s="45"/>
    </row>
    <row r="116" spans="20:28">
      <c r="T116" s="45"/>
      <c r="U116" s="41"/>
      <c r="V116" s="45"/>
      <c r="W116" s="45"/>
      <c r="X116" s="45"/>
      <c r="Y116" s="45"/>
      <c r="Z116" s="45"/>
      <c r="AA116" s="45"/>
      <c r="AB116" s="45"/>
    </row>
    <row r="117" spans="20:28">
      <c r="T117" s="45"/>
      <c r="U117" s="41"/>
      <c r="V117" s="45"/>
      <c r="W117" s="45"/>
      <c r="X117" s="45"/>
      <c r="Y117" s="45"/>
      <c r="Z117" s="45"/>
      <c r="AA117" s="45"/>
      <c r="AB117" s="45"/>
    </row>
    <row r="118" spans="20:28">
      <c r="T118" s="45"/>
      <c r="U118" s="41"/>
      <c r="V118" s="45"/>
      <c r="W118" s="45"/>
      <c r="X118" s="45"/>
      <c r="Y118" s="45"/>
      <c r="Z118" s="45"/>
      <c r="AA118" s="45"/>
      <c r="AB118" s="45"/>
    </row>
    <row r="119" spans="20:28">
      <c r="T119" s="45"/>
      <c r="U119" s="41"/>
      <c r="V119" s="45"/>
      <c r="W119" s="45"/>
      <c r="X119" s="45"/>
      <c r="Y119" s="45"/>
      <c r="Z119" s="45"/>
      <c r="AA119" s="45"/>
      <c r="AB119" s="45"/>
    </row>
    <row r="120" spans="20:28">
      <c r="T120" s="45"/>
      <c r="U120" s="41"/>
      <c r="V120" s="45"/>
      <c r="W120" s="45"/>
      <c r="X120" s="45"/>
      <c r="Y120" s="45"/>
      <c r="Z120" s="45"/>
      <c r="AA120" s="45"/>
      <c r="AB120" s="45"/>
    </row>
    <row r="121" spans="20:28">
      <c r="T121" s="45"/>
      <c r="U121" s="41"/>
      <c r="V121" s="45"/>
      <c r="W121" s="45"/>
      <c r="X121" s="45"/>
      <c r="Y121" s="45"/>
      <c r="Z121" s="45"/>
      <c r="AA121" s="45"/>
      <c r="AB121" s="45"/>
    </row>
    <row r="122" spans="20:28">
      <c r="T122" s="45"/>
      <c r="U122" s="41"/>
      <c r="V122" s="45"/>
      <c r="W122" s="45"/>
      <c r="X122" s="45"/>
      <c r="Y122" s="45"/>
      <c r="Z122" s="45"/>
      <c r="AA122" s="45"/>
      <c r="AB122" s="45"/>
    </row>
    <row r="123" spans="20:28">
      <c r="T123" s="45"/>
      <c r="U123" s="41"/>
      <c r="V123" s="45"/>
      <c r="W123" s="45"/>
      <c r="X123" s="45"/>
      <c r="Y123" s="45"/>
      <c r="Z123" s="45"/>
      <c r="AA123" s="45"/>
      <c r="AB123" s="45"/>
    </row>
    <row r="124" spans="20:28">
      <c r="T124" s="45"/>
      <c r="U124" s="41"/>
      <c r="V124" s="45"/>
      <c r="W124" s="45"/>
      <c r="X124" s="45"/>
      <c r="Y124" s="45"/>
      <c r="Z124" s="45"/>
      <c r="AA124" s="45"/>
      <c r="AB124" s="45"/>
    </row>
    <row r="125" spans="20:28">
      <c r="T125" s="45"/>
      <c r="U125" s="41"/>
      <c r="V125" s="45"/>
      <c r="W125" s="45"/>
      <c r="X125" s="45"/>
      <c r="Y125" s="45"/>
      <c r="Z125" s="45"/>
      <c r="AA125" s="45"/>
      <c r="AB125" s="45"/>
    </row>
    <row r="126" spans="20:28">
      <c r="T126" s="45"/>
      <c r="U126" s="41"/>
      <c r="V126" s="45"/>
      <c r="W126" s="45"/>
      <c r="X126" s="45"/>
      <c r="Y126" s="45"/>
      <c r="Z126" s="45"/>
      <c r="AA126" s="45"/>
      <c r="AB126" s="45"/>
    </row>
    <row r="127" spans="20:28">
      <c r="T127" s="45"/>
      <c r="U127" s="41"/>
      <c r="V127" s="45"/>
      <c r="W127" s="45"/>
      <c r="X127" s="45"/>
      <c r="Y127" s="45"/>
      <c r="Z127" s="45"/>
      <c r="AA127" s="45"/>
      <c r="AB127" s="45"/>
    </row>
    <row r="128" spans="20:28">
      <c r="T128" s="45"/>
      <c r="U128" s="41"/>
      <c r="V128" s="45"/>
      <c r="W128" s="45"/>
      <c r="X128" s="45"/>
      <c r="Y128" s="45"/>
      <c r="Z128" s="45"/>
      <c r="AA128" s="45"/>
      <c r="AB128" s="45"/>
    </row>
    <row r="129" spans="20:28">
      <c r="T129" s="45"/>
      <c r="U129" s="41"/>
      <c r="V129" s="45"/>
      <c r="W129" s="45"/>
      <c r="X129" s="45"/>
      <c r="Y129" s="45"/>
      <c r="Z129" s="45"/>
      <c r="AA129" s="45"/>
      <c r="AB129" s="45"/>
    </row>
    <row r="130" spans="20:28">
      <c r="T130" s="45"/>
      <c r="U130" s="41"/>
      <c r="V130" s="45"/>
      <c r="W130" s="45"/>
      <c r="X130" s="45"/>
      <c r="Y130" s="45"/>
      <c r="Z130" s="45"/>
      <c r="AA130" s="45"/>
      <c r="AB130" s="45"/>
    </row>
    <row r="131" spans="20:28">
      <c r="T131" s="45"/>
      <c r="U131" s="41"/>
      <c r="V131" s="45"/>
      <c r="W131" s="45"/>
      <c r="X131" s="45"/>
      <c r="Y131" s="45"/>
      <c r="Z131" s="45"/>
      <c r="AA131" s="45"/>
      <c r="AB131" s="45"/>
    </row>
    <row r="132" spans="20:28">
      <c r="T132" s="45"/>
      <c r="U132" s="41"/>
      <c r="V132" s="45"/>
      <c r="W132" s="45"/>
      <c r="X132" s="45"/>
      <c r="Y132" s="45"/>
      <c r="Z132" s="45"/>
      <c r="AA132" s="45"/>
      <c r="AB132" s="45"/>
    </row>
    <row r="133" spans="20:28">
      <c r="T133" s="45"/>
      <c r="U133" s="41"/>
      <c r="V133" s="45"/>
      <c r="W133" s="45"/>
      <c r="X133" s="45"/>
      <c r="Y133" s="45"/>
      <c r="Z133" s="45"/>
      <c r="AA133" s="45"/>
      <c r="AB133" s="45"/>
    </row>
    <row r="134" spans="20:28">
      <c r="T134" s="45"/>
      <c r="U134" s="41"/>
      <c r="V134" s="45"/>
      <c r="W134" s="45"/>
      <c r="X134" s="45"/>
      <c r="Y134" s="45"/>
      <c r="Z134" s="45"/>
      <c r="AA134" s="45"/>
      <c r="AB134" s="45"/>
    </row>
    <row r="135" spans="20:28">
      <c r="T135" s="45"/>
      <c r="U135" s="41"/>
      <c r="V135" s="45"/>
      <c r="W135" s="45"/>
      <c r="X135" s="45"/>
      <c r="Y135" s="45"/>
      <c r="Z135" s="45"/>
      <c r="AA135" s="45"/>
      <c r="AB135" s="45"/>
    </row>
    <row r="136" spans="20:28">
      <c r="T136" s="45"/>
      <c r="U136" s="41"/>
      <c r="V136" s="45"/>
      <c r="W136" s="45"/>
      <c r="X136" s="45"/>
      <c r="Y136" s="45"/>
      <c r="Z136" s="45"/>
      <c r="AA136" s="45"/>
      <c r="AB136" s="45"/>
    </row>
    <row r="137" spans="20:28">
      <c r="T137" s="45"/>
      <c r="U137" s="41"/>
      <c r="V137" s="45"/>
      <c r="W137" s="45"/>
      <c r="X137" s="45"/>
      <c r="Y137" s="45"/>
      <c r="Z137" s="45"/>
      <c r="AA137" s="45"/>
      <c r="AB137" s="45"/>
    </row>
    <row r="138" spans="20:28">
      <c r="T138" s="45"/>
      <c r="U138" s="41"/>
      <c r="V138" s="45"/>
      <c r="W138" s="45"/>
      <c r="X138" s="45"/>
      <c r="Y138" s="45"/>
      <c r="Z138" s="45"/>
      <c r="AA138" s="45"/>
      <c r="AB138" s="45"/>
    </row>
    <row r="139" spans="20:28">
      <c r="T139" s="45"/>
      <c r="U139" s="41"/>
      <c r="V139" s="45"/>
      <c r="W139" s="45"/>
      <c r="X139" s="45"/>
      <c r="Y139" s="45"/>
      <c r="Z139" s="45"/>
      <c r="AA139" s="45"/>
      <c r="AB139" s="45"/>
    </row>
    <row r="140" spans="20:28">
      <c r="T140" s="45"/>
      <c r="U140" s="41"/>
      <c r="V140" s="45"/>
      <c r="W140" s="45"/>
      <c r="X140" s="45"/>
      <c r="Y140" s="45"/>
      <c r="Z140" s="45"/>
      <c r="AA140" s="45"/>
      <c r="AB140" s="45"/>
    </row>
    <row r="141" spans="20:28">
      <c r="T141" s="45"/>
      <c r="U141" s="41"/>
      <c r="V141" s="45"/>
      <c r="W141" s="45"/>
      <c r="X141" s="45"/>
      <c r="Y141" s="45"/>
      <c r="Z141" s="45"/>
      <c r="AA141" s="45"/>
      <c r="AB141" s="45"/>
    </row>
    <row r="142" spans="20:28">
      <c r="T142" s="45"/>
      <c r="U142" s="41"/>
      <c r="V142" s="45"/>
      <c r="W142" s="45"/>
      <c r="X142" s="45"/>
      <c r="Y142" s="45"/>
      <c r="Z142" s="45"/>
      <c r="AA142" s="45"/>
      <c r="AB142" s="45"/>
    </row>
    <row r="143" spans="20:28">
      <c r="T143" s="45"/>
      <c r="U143" s="41"/>
      <c r="V143" s="45"/>
      <c r="W143" s="45"/>
      <c r="X143" s="45"/>
      <c r="Y143" s="45"/>
      <c r="Z143" s="45"/>
      <c r="AA143" s="45"/>
      <c r="AB143" s="45"/>
    </row>
    <row r="144" spans="20:28">
      <c r="T144" s="45"/>
      <c r="U144" s="41"/>
      <c r="V144" s="45"/>
      <c r="W144" s="45"/>
      <c r="X144" s="45"/>
      <c r="Y144" s="45"/>
      <c r="Z144" s="45"/>
      <c r="AA144" s="45"/>
      <c r="AB144" s="45"/>
    </row>
    <row r="145" spans="20:28">
      <c r="T145" s="45"/>
      <c r="U145" s="41"/>
      <c r="V145" s="45"/>
      <c r="W145" s="45"/>
      <c r="X145" s="45"/>
      <c r="Y145" s="45"/>
      <c r="Z145" s="45"/>
      <c r="AA145" s="45"/>
      <c r="AB145" s="45"/>
    </row>
    <row r="146" spans="20:28">
      <c r="T146" s="45"/>
      <c r="U146" s="41"/>
      <c r="V146" s="45"/>
      <c r="W146" s="45"/>
      <c r="X146" s="45"/>
      <c r="Y146" s="45"/>
      <c r="Z146" s="45"/>
      <c r="AA146" s="45"/>
      <c r="AB146" s="45"/>
    </row>
    <row r="147" spans="20:28">
      <c r="T147" s="45"/>
      <c r="U147" s="41"/>
      <c r="V147" s="45"/>
      <c r="W147" s="45"/>
      <c r="X147" s="45"/>
      <c r="Y147" s="45"/>
      <c r="Z147" s="45"/>
      <c r="AA147" s="45"/>
      <c r="AB147" s="45"/>
    </row>
    <row r="148" spans="20:28">
      <c r="T148" s="45"/>
      <c r="U148" s="41"/>
      <c r="V148" s="45"/>
      <c r="W148" s="45"/>
      <c r="X148" s="45"/>
      <c r="Y148" s="45"/>
      <c r="Z148" s="45"/>
      <c r="AA148" s="45"/>
      <c r="AB148" s="45"/>
    </row>
    <row r="149" spans="20:28">
      <c r="T149" s="45"/>
      <c r="U149" s="41"/>
      <c r="V149" s="45"/>
      <c r="W149" s="45"/>
      <c r="X149" s="45"/>
      <c r="Y149" s="45"/>
      <c r="Z149" s="45"/>
      <c r="AA149" s="45"/>
      <c r="AB149" s="45"/>
    </row>
    <row r="150" spans="20:28">
      <c r="T150" s="45"/>
      <c r="U150" s="41"/>
      <c r="V150" s="45"/>
      <c r="W150" s="45"/>
      <c r="X150" s="45"/>
      <c r="Y150" s="45"/>
      <c r="Z150" s="45"/>
      <c r="AA150" s="45"/>
      <c r="AB150" s="45"/>
    </row>
    <row r="151" spans="20:28">
      <c r="T151" s="45"/>
      <c r="U151" s="41"/>
      <c r="V151" s="45"/>
      <c r="W151" s="45"/>
      <c r="X151" s="45"/>
      <c r="Y151" s="45"/>
      <c r="Z151" s="45"/>
      <c r="AA151" s="45"/>
      <c r="AB151" s="45"/>
    </row>
    <row r="152" spans="20:28">
      <c r="T152" s="45"/>
      <c r="U152" s="41"/>
      <c r="V152" s="45"/>
      <c r="W152" s="45"/>
      <c r="X152" s="45"/>
      <c r="Y152" s="45"/>
      <c r="Z152" s="45"/>
      <c r="AA152" s="45"/>
      <c r="AB152" s="45"/>
    </row>
    <row r="153" spans="20:28">
      <c r="T153" s="45"/>
      <c r="U153" s="41"/>
      <c r="V153" s="45"/>
      <c r="W153" s="45"/>
      <c r="X153" s="45"/>
      <c r="Y153" s="45"/>
      <c r="Z153" s="45"/>
      <c r="AA153" s="45"/>
      <c r="AB153" s="45"/>
    </row>
    <row r="154" spans="20:28">
      <c r="T154" s="45"/>
      <c r="U154" s="41"/>
      <c r="V154" s="45"/>
      <c r="W154" s="45"/>
      <c r="X154" s="45"/>
      <c r="Y154" s="45"/>
      <c r="Z154" s="45"/>
      <c r="AA154" s="45"/>
      <c r="AB154" s="45"/>
    </row>
    <row r="155" spans="20:28">
      <c r="T155" s="45"/>
      <c r="U155" s="41"/>
      <c r="V155" s="45"/>
      <c r="W155" s="45"/>
      <c r="X155" s="45"/>
      <c r="Y155" s="45"/>
      <c r="Z155" s="45"/>
      <c r="AA155" s="45"/>
      <c r="AB155" s="45"/>
    </row>
    <row r="156" spans="20:28">
      <c r="T156" s="45"/>
      <c r="U156" s="41"/>
      <c r="V156" s="45"/>
      <c r="W156" s="45"/>
      <c r="X156" s="45"/>
      <c r="Y156" s="45"/>
      <c r="Z156" s="45"/>
      <c r="AA156" s="45"/>
      <c r="AB156" s="45"/>
    </row>
    <row r="157" spans="20:28">
      <c r="T157" s="45"/>
      <c r="U157" s="41"/>
      <c r="V157" s="45"/>
      <c r="W157" s="45"/>
      <c r="X157" s="45"/>
      <c r="Y157" s="45"/>
      <c r="Z157" s="45"/>
      <c r="AA157" s="45"/>
      <c r="AB157" s="45"/>
    </row>
    <row r="158" spans="20:28">
      <c r="T158" s="45"/>
      <c r="U158" s="41"/>
      <c r="V158" s="45"/>
      <c r="W158" s="45"/>
      <c r="X158" s="45"/>
      <c r="Y158" s="45"/>
      <c r="Z158" s="45"/>
      <c r="AA158" s="45"/>
      <c r="AB158" s="45"/>
    </row>
    <row r="159" spans="20:28">
      <c r="T159" s="45"/>
      <c r="U159" s="41"/>
      <c r="V159" s="45"/>
      <c r="W159" s="45"/>
      <c r="X159" s="45"/>
      <c r="Y159" s="45"/>
      <c r="Z159" s="45"/>
      <c r="AA159" s="45"/>
      <c r="AB159" s="45"/>
    </row>
    <row r="160" spans="20:28">
      <c r="T160" s="45"/>
      <c r="U160" s="41"/>
      <c r="V160" s="45"/>
      <c r="W160" s="45"/>
      <c r="X160" s="45"/>
      <c r="Y160" s="45"/>
      <c r="Z160" s="45"/>
      <c r="AA160" s="45"/>
      <c r="AB160" s="45"/>
    </row>
    <row r="161" spans="20:28">
      <c r="T161" s="45"/>
      <c r="U161" s="41"/>
      <c r="V161" s="45"/>
      <c r="W161" s="45"/>
      <c r="X161" s="45"/>
      <c r="Y161" s="45"/>
      <c r="Z161" s="45"/>
      <c r="AA161" s="45"/>
      <c r="AB161" s="45"/>
    </row>
    <row r="162" spans="20:28">
      <c r="T162" s="45"/>
      <c r="U162" s="41"/>
      <c r="V162" s="45"/>
      <c r="W162" s="45"/>
      <c r="X162" s="45"/>
      <c r="Y162" s="45"/>
      <c r="Z162" s="45"/>
      <c r="AA162" s="45"/>
      <c r="AB162" s="45"/>
    </row>
    <row r="163" spans="20:28">
      <c r="T163" s="45"/>
      <c r="U163" s="41"/>
      <c r="V163" s="45"/>
      <c r="W163" s="45"/>
      <c r="X163" s="45"/>
      <c r="Y163" s="45"/>
      <c r="Z163" s="45"/>
      <c r="AA163" s="45"/>
      <c r="AB163" s="45"/>
    </row>
    <row r="164" spans="20:28">
      <c r="T164" s="45"/>
      <c r="U164" s="41"/>
      <c r="V164" s="45"/>
      <c r="W164" s="45"/>
      <c r="X164" s="45"/>
      <c r="Y164" s="45"/>
      <c r="Z164" s="45"/>
      <c r="AA164" s="45"/>
      <c r="AB164" s="45"/>
    </row>
    <row r="165" spans="20:28">
      <c r="T165" s="45"/>
      <c r="U165" s="41"/>
      <c r="V165" s="45"/>
      <c r="W165" s="45"/>
      <c r="X165" s="45"/>
      <c r="Y165" s="45"/>
      <c r="Z165" s="45"/>
      <c r="AA165" s="45"/>
      <c r="AB165" s="45"/>
    </row>
    <row r="166" spans="20:28">
      <c r="T166" s="45"/>
      <c r="U166" s="41"/>
      <c r="V166" s="45"/>
      <c r="W166" s="45"/>
      <c r="X166" s="45"/>
      <c r="Y166" s="45"/>
      <c r="Z166" s="45"/>
      <c r="AA166" s="45"/>
      <c r="AB166" s="45"/>
    </row>
    <row r="167" spans="20:28">
      <c r="T167" s="45"/>
      <c r="U167" s="41"/>
      <c r="V167" s="45"/>
      <c r="W167" s="45"/>
      <c r="X167" s="45"/>
      <c r="Y167" s="45"/>
      <c r="Z167" s="45"/>
      <c r="AA167" s="45"/>
      <c r="AB167" s="45"/>
    </row>
    <row r="168" spans="20:28">
      <c r="T168" s="45"/>
      <c r="U168" s="41"/>
      <c r="V168" s="45"/>
      <c r="W168" s="45"/>
      <c r="X168" s="45"/>
      <c r="Y168" s="45"/>
      <c r="Z168" s="45"/>
      <c r="AA168" s="45"/>
      <c r="AB168" s="45"/>
    </row>
    <row r="169" spans="20:28">
      <c r="T169" s="45"/>
      <c r="U169" s="41"/>
      <c r="V169" s="45"/>
      <c r="W169" s="45"/>
      <c r="X169" s="45"/>
      <c r="Y169" s="45"/>
      <c r="Z169" s="45"/>
      <c r="AA169" s="45"/>
      <c r="AB169" s="45"/>
    </row>
    <row r="170" spans="20:28">
      <c r="T170" s="45"/>
      <c r="U170" s="41"/>
      <c r="V170" s="45"/>
      <c r="W170" s="45"/>
      <c r="X170" s="45"/>
      <c r="Y170" s="45"/>
      <c r="Z170" s="45"/>
      <c r="AA170" s="45"/>
      <c r="AB170" s="45"/>
    </row>
    <row r="171" spans="20:28">
      <c r="T171" s="45"/>
      <c r="U171" s="41"/>
      <c r="V171" s="45"/>
      <c r="W171" s="45"/>
      <c r="X171" s="45"/>
      <c r="Y171" s="45"/>
      <c r="Z171" s="45"/>
      <c r="AA171" s="45"/>
      <c r="AB171" s="45"/>
    </row>
    <row r="172" spans="20:28">
      <c r="T172" s="45"/>
      <c r="U172" s="41"/>
      <c r="V172" s="45"/>
      <c r="W172" s="45"/>
      <c r="X172" s="45"/>
      <c r="Y172" s="45"/>
      <c r="Z172" s="45"/>
      <c r="AA172" s="45"/>
      <c r="AB172" s="45"/>
    </row>
    <row r="173" spans="20:28">
      <c r="T173" s="45"/>
      <c r="U173" s="41"/>
      <c r="V173" s="45"/>
      <c r="W173" s="45"/>
      <c r="X173" s="45"/>
      <c r="Y173" s="45"/>
      <c r="Z173" s="45"/>
      <c r="AA173" s="45"/>
      <c r="AB173" s="45"/>
    </row>
    <row r="174" spans="20:28">
      <c r="T174" s="45"/>
      <c r="U174" s="41"/>
      <c r="V174" s="45"/>
      <c r="W174" s="45"/>
      <c r="X174" s="45"/>
      <c r="Y174" s="45"/>
      <c r="Z174" s="45"/>
      <c r="AA174" s="45"/>
      <c r="AB174" s="45"/>
    </row>
    <row r="175" spans="20:28">
      <c r="T175" s="45"/>
      <c r="U175" s="41"/>
      <c r="V175" s="45"/>
      <c r="W175" s="45"/>
      <c r="X175" s="45"/>
      <c r="Y175" s="45"/>
      <c r="Z175" s="45"/>
      <c r="AA175" s="45"/>
      <c r="AB175" s="45"/>
    </row>
    <row r="176" spans="20:28">
      <c r="T176" s="45"/>
      <c r="U176" s="41"/>
      <c r="V176" s="45"/>
      <c r="W176" s="45"/>
      <c r="X176" s="45"/>
      <c r="Y176" s="45"/>
      <c r="Z176" s="45"/>
      <c r="AA176" s="45"/>
      <c r="AB176" s="45"/>
    </row>
    <row r="177" spans="20:28">
      <c r="T177" s="45"/>
      <c r="U177" s="41"/>
      <c r="V177" s="45"/>
      <c r="W177" s="45"/>
      <c r="X177" s="45"/>
      <c r="Y177" s="45"/>
      <c r="Z177" s="45"/>
      <c r="AA177" s="45"/>
      <c r="AB177" s="45"/>
    </row>
    <row r="178" spans="20:28">
      <c r="T178" s="45"/>
      <c r="U178" s="41"/>
      <c r="V178" s="45"/>
      <c r="W178" s="45"/>
      <c r="X178" s="45"/>
      <c r="Y178" s="45"/>
      <c r="Z178" s="45"/>
      <c r="AA178" s="45"/>
      <c r="AB178" s="45"/>
    </row>
    <row r="179" spans="20:28">
      <c r="T179" s="45"/>
      <c r="U179" s="41"/>
      <c r="V179" s="45"/>
      <c r="W179" s="45"/>
      <c r="X179" s="45"/>
      <c r="Y179" s="45"/>
      <c r="Z179" s="45"/>
      <c r="AA179" s="45"/>
      <c r="AB179" s="45"/>
    </row>
    <row r="180" spans="20:28">
      <c r="T180" s="45"/>
      <c r="U180" s="41"/>
      <c r="V180" s="45"/>
      <c r="W180" s="45"/>
      <c r="X180" s="45"/>
      <c r="Y180" s="45"/>
      <c r="Z180" s="45"/>
      <c r="AA180" s="45"/>
      <c r="AB180" s="45"/>
    </row>
    <row r="181" spans="20:28">
      <c r="T181" s="45"/>
      <c r="U181" s="41"/>
      <c r="V181" s="45"/>
      <c r="W181" s="45"/>
      <c r="X181" s="45"/>
      <c r="Y181" s="45"/>
      <c r="Z181" s="45"/>
      <c r="AA181" s="45"/>
      <c r="AB181" s="45"/>
    </row>
    <row r="182" spans="20:28">
      <c r="T182" s="45"/>
      <c r="U182" s="41"/>
      <c r="V182" s="45"/>
      <c r="W182" s="45"/>
      <c r="X182" s="45"/>
      <c r="Y182" s="45"/>
      <c r="Z182" s="45"/>
      <c r="AA182" s="45"/>
      <c r="AB182" s="45"/>
    </row>
    <row r="183" spans="20:28">
      <c r="T183" s="45"/>
      <c r="U183" s="41"/>
      <c r="V183" s="45"/>
      <c r="W183" s="45"/>
      <c r="X183" s="45"/>
      <c r="Y183" s="45"/>
      <c r="Z183" s="45"/>
      <c r="AA183" s="45"/>
      <c r="AB183" s="45"/>
    </row>
    <row r="184" spans="20:28">
      <c r="T184" s="45"/>
      <c r="U184" s="41"/>
      <c r="V184" s="45"/>
      <c r="W184" s="45"/>
      <c r="X184" s="45"/>
      <c r="Y184" s="45"/>
      <c r="Z184" s="45"/>
      <c r="AA184" s="45"/>
      <c r="AB184" s="45"/>
    </row>
    <row r="185" spans="20:28">
      <c r="T185" s="45"/>
      <c r="U185" s="41"/>
      <c r="V185" s="45"/>
      <c r="W185" s="45"/>
      <c r="X185" s="45"/>
      <c r="Y185" s="45"/>
      <c r="Z185" s="45"/>
      <c r="AA185" s="45"/>
      <c r="AB185" s="45"/>
    </row>
    <row r="186" spans="20:28">
      <c r="T186" s="45"/>
      <c r="U186" s="41"/>
      <c r="V186" s="45"/>
      <c r="W186" s="45"/>
      <c r="X186" s="45"/>
      <c r="Y186" s="45"/>
      <c r="Z186" s="45"/>
      <c r="AA186" s="45"/>
      <c r="AB186" s="45"/>
    </row>
    <row r="187" spans="20:28">
      <c r="T187" s="45"/>
      <c r="U187" s="41"/>
      <c r="V187" s="45"/>
      <c r="W187" s="45"/>
      <c r="X187" s="45"/>
      <c r="Y187" s="45"/>
      <c r="Z187" s="45"/>
      <c r="AA187" s="45"/>
      <c r="AB187" s="45"/>
    </row>
    <row r="188" spans="20:28">
      <c r="T188" s="45"/>
      <c r="U188" s="41"/>
      <c r="V188" s="45"/>
      <c r="W188" s="45"/>
      <c r="X188" s="45"/>
      <c r="Y188" s="45"/>
      <c r="Z188" s="45"/>
      <c r="AA188" s="45"/>
      <c r="AB188" s="45"/>
    </row>
    <row r="189" spans="20:28">
      <c r="T189" s="45"/>
      <c r="U189" s="41"/>
      <c r="V189" s="45"/>
      <c r="W189" s="45"/>
      <c r="X189" s="45"/>
      <c r="Y189" s="45"/>
      <c r="Z189" s="45"/>
      <c r="AA189" s="45"/>
      <c r="AB189" s="45"/>
    </row>
    <row r="190" spans="20:28">
      <c r="T190" s="45"/>
      <c r="U190" s="41"/>
      <c r="V190" s="45"/>
      <c r="W190" s="45"/>
      <c r="X190" s="45"/>
      <c r="Y190" s="45"/>
      <c r="Z190" s="45"/>
      <c r="AA190" s="45"/>
      <c r="AB190" s="45"/>
    </row>
    <row r="191" spans="20:28">
      <c r="T191" s="45"/>
      <c r="U191" s="41"/>
      <c r="V191" s="45"/>
      <c r="W191" s="45"/>
      <c r="X191" s="45"/>
      <c r="Y191" s="45"/>
      <c r="Z191" s="45"/>
      <c r="AA191" s="45"/>
      <c r="AB191" s="45"/>
    </row>
    <row r="192" spans="20:28">
      <c r="T192" s="45"/>
      <c r="U192" s="41"/>
      <c r="V192" s="45"/>
      <c r="W192" s="45"/>
      <c r="X192" s="45"/>
      <c r="Y192" s="45"/>
      <c r="Z192" s="45"/>
      <c r="AA192" s="45"/>
      <c r="AB192" s="45"/>
    </row>
    <row r="193" spans="20:28">
      <c r="T193" s="45"/>
      <c r="U193" s="41"/>
      <c r="V193" s="45"/>
      <c r="W193" s="45"/>
      <c r="X193" s="45"/>
      <c r="Y193" s="45"/>
      <c r="Z193" s="45"/>
      <c r="AA193" s="45"/>
      <c r="AB193" s="45"/>
    </row>
    <row r="194" spans="20:28">
      <c r="T194" s="45"/>
      <c r="U194" s="41"/>
      <c r="V194" s="45"/>
      <c r="W194" s="45"/>
      <c r="X194" s="45"/>
      <c r="Y194" s="45"/>
      <c r="Z194" s="45"/>
      <c r="AA194" s="45"/>
      <c r="AB194" s="45"/>
    </row>
    <row r="195" spans="20:28">
      <c r="T195" s="45"/>
      <c r="U195" s="41"/>
      <c r="V195" s="45"/>
      <c r="W195" s="45"/>
      <c r="X195" s="45"/>
      <c r="Y195" s="45"/>
      <c r="Z195" s="45"/>
      <c r="AA195" s="45"/>
      <c r="AB195" s="45"/>
    </row>
    <row r="196" spans="20:28">
      <c r="T196" s="45"/>
      <c r="U196" s="41"/>
      <c r="V196" s="45"/>
      <c r="W196" s="45"/>
      <c r="X196" s="45"/>
      <c r="Y196" s="45"/>
      <c r="Z196" s="45"/>
      <c r="AA196" s="45"/>
      <c r="AB196" s="45"/>
    </row>
    <row r="197" spans="20:28">
      <c r="T197" s="45"/>
      <c r="U197" s="41"/>
      <c r="V197" s="45"/>
      <c r="W197" s="45"/>
      <c r="X197" s="45"/>
      <c r="Y197" s="45"/>
      <c r="Z197" s="45"/>
      <c r="AA197" s="45"/>
      <c r="AB197" s="45"/>
    </row>
    <row r="198" spans="20:28">
      <c r="T198" s="45"/>
      <c r="U198" s="41"/>
      <c r="V198" s="45"/>
      <c r="W198" s="45"/>
      <c r="X198" s="45"/>
      <c r="Y198" s="45"/>
      <c r="Z198" s="45"/>
      <c r="AA198" s="45"/>
      <c r="AB198" s="45"/>
    </row>
    <row r="199" spans="20:28">
      <c r="T199" s="45"/>
      <c r="U199" s="41"/>
      <c r="V199" s="45"/>
      <c r="W199" s="45"/>
      <c r="X199" s="45"/>
      <c r="Y199" s="45"/>
      <c r="Z199" s="45"/>
      <c r="AA199" s="45"/>
      <c r="AB199" s="45"/>
    </row>
    <row r="200" spans="20:28">
      <c r="T200" s="45"/>
      <c r="U200" s="41"/>
      <c r="V200" s="45"/>
      <c r="W200" s="45"/>
      <c r="X200" s="45"/>
      <c r="Y200" s="45"/>
      <c r="Z200" s="45"/>
      <c r="AA200" s="45"/>
      <c r="AB200" s="45"/>
    </row>
    <row r="201" spans="20:28">
      <c r="T201" s="45"/>
      <c r="U201" s="41"/>
      <c r="V201" s="45"/>
      <c r="W201" s="45"/>
      <c r="X201" s="45"/>
      <c r="Y201" s="45"/>
      <c r="Z201" s="45"/>
      <c r="AA201" s="45"/>
      <c r="AB201" s="45"/>
    </row>
    <row r="202" spans="20:28">
      <c r="T202" s="45"/>
      <c r="U202" s="41"/>
      <c r="V202" s="45"/>
      <c r="W202" s="45"/>
      <c r="X202" s="45"/>
      <c r="Y202" s="45"/>
      <c r="Z202" s="45"/>
      <c r="AA202" s="45"/>
      <c r="AB202" s="45"/>
    </row>
    <row r="203" spans="20:28">
      <c r="T203" s="45"/>
      <c r="U203" s="41"/>
      <c r="V203" s="45"/>
      <c r="W203" s="45"/>
      <c r="X203" s="45"/>
      <c r="Y203" s="45"/>
      <c r="Z203" s="45"/>
      <c r="AA203" s="45"/>
      <c r="AB203" s="45"/>
    </row>
    <row r="204" spans="20:28">
      <c r="T204" s="45"/>
      <c r="U204" s="41"/>
      <c r="V204" s="45"/>
      <c r="W204" s="45"/>
      <c r="X204" s="45"/>
      <c r="Y204" s="45"/>
      <c r="Z204" s="45"/>
      <c r="AA204" s="45"/>
      <c r="AB204" s="45"/>
    </row>
    <row r="205" spans="20:28">
      <c r="T205" s="45"/>
      <c r="U205" s="41"/>
      <c r="V205" s="45"/>
      <c r="W205" s="45"/>
      <c r="X205" s="45"/>
      <c r="Y205" s="45"/>
      <c r="Z205" s="45"/>
      <c r="AA205" s="45"/>
      <c r="AB205" s="45"/>
    </row>
    <row r="206" spans="20:28">
      <c r="T206" s="45"/>
      <c r="U206" s="41"/>
      <c r="V206" s="45"/>
      <c r="W206" s="45"/>
      <c r="X206" s="45"/>
      <c r="Y206" s="45"/>
      <c r="Z206" s="45"/>
      <c r="AA206" s="45"/>
      <c r="AB206" s="45"/>
    </row>
    <row r="207" spans="20:28">
      <c r="T207" s="45"/>
      <c r="U207" s="41"/>
      <c r="V207" s="45"/>
      <c r="W207" s="45"/>
      <c r="X207" s="45"/>
      <c r="Y207" s="45"/>
      <c r="Z207" s="45"/>
      <c r="AA207" s="45"/>
      <c r="AB207" s="45"/>
    </row>
    <row r="208" spans="20:28">
      <c r="T208" s="45"/>
      <c r="U208" s="41"/>
      <c r="V208" s="45"/>
      <c r="W208" s="45"/>
      <c r="X208" s="45"/>
      <c r="Y208" s="45"/>
      <c r="Z208" s="45"/>
      <c r="AA208" s="45"/>
      <c r="AB208" s="45"/>
    </row>
    <row r="209" spans="20:28">
      <c r="T209" s="45"/>
      <c r="U209" s="41"/>
      <c r="V209" s="45"/>
      <c r="W209" s="45"/>
      <c r="X209" s="45"/>
      <c r="Y209" s="45"/>
      <c r="Z209" s="45"/>
      <c r="AA209" s="45"/>
      <c r="AB209" s="45"/>
    </row>
    <row r="210" spans="20:28">
      <c r="T210" s="45"/>
      <c r="U210" s="41"/>
      <c r="V210" s="45"/>
      <c r="W210" s="45"/>
      <c r="X210" s="45"/>
      <c r="Y210" s="45"/>
      <c r="Z210" s="45"/>
      <c r="AA210" s="45"/>
      <c r="AB210" s="45"/>
    </row>
    <row r="211" spans="20:28">
      <c r="T211" s="45"/>
      <c r="U211" s="41"/>
      <c r="V211" s="45"/>
      <c r="W211" s="45"/>
      <c r="X211" s="45"/>
      <c r="Y211" s="45"/>
      <c r="Z211" s="45"/>
      <c r="AA211" s="45"/>
      <c r="AB211" s="45"/>
    </row>
  </sheetData>
  <sheetProtection formatCells="0" formatRows="0" insertHyperlinks="0"/>
  <mergeCells count="24">
    <mergeCell ref="H19:R19"/>
    <mergeCell ref="H7:R7"/>
    <mergeCell ref="D2:F2"/>
    <mergeCell ref="G4:R4"/>
    <mergeCell ref="D5:F5"/>
    <mergeCell ref="H8:R8"/>
    <mergeCell ref="H9:R9"/>
    <mergeCell ref="H10:R10"/>
    <mergeCell ref="G20:R20"/>
    <mergeCell ref="G21:R21"/>
    <mergeCell ref="D23:R23"/>
    <mergeCell ref="D22:M22"/>
    <mergeCell ref="G2:R2"/>
    <mergeCell ref="G18:R18"/>
    <mergeCell ref="G12:R12"/>
    <mergeCell ref="G13:R13"/>
    <mergeCell ref="G14:R14"/>
    <mergeCell ref="G15:R15"/>
    <mergeCell ref="G16:R16"/>
    <mergeCell ref="G17:R17"/>
    <mergeCell ref="H5:R5"/>
    <mergeCell ref="I6:O6"/>
    <mergeCell ref="P6:Q6"/>
    <mergeCell ref="D4:F4"/>
  </mergeCells>
  <conditionalFormatting sqref="H23:M23 N22:R23 H26:Q60">
    <cfRule type="colorScale" priority="1">
      <colorScale>
        <cfvo type="num" val="0"/>
        <cfvo type="num" val="5"/>
        <cfvo type="num" val="10"/>
        <color rgb="FF00B050"/>
        <color rgb="FFFFFF00"/>
        <color rgb="FFFF0000"/>
      </colorScale>
    </cfRule>
  </conditionalFormatting>
  <conditionalFormatting sqref="Q22:Q23 Q26:Q60">
    <cfRule type="expression" dxfId="2650" priority="2" stopIfTrue="1">
      <formula>IF($U22&lt;10,TRUE,)</formula>
    </cfRule>
  </conditionalFormatting>
  <conditionalFormatting sqref="P22:P23 P26:P60">
    <cfRule type="expression" dxfId="2649" priority="82" stopIfTrue="1">
      <formula>IF($U22&lt;9,TRUE,)</formula>
    </cfRule>
  </conditionalFormatting>
  <conditionalFormatting sqref="O22:O23 O26:O60">
    <cfRule type="expression" dxfId="2648" priority="81" stopIfTrue="1">
      <formula>IF($U22&lt;8,TRUE,)</formula>
    </cfRule>
  </conditionalFormatting>
  <conditionalFormatting sqref="N22:N23 N26:N60">
    <cfRule type="expression" dxfId="2647" priority="80" stopIfTrue="1">
      <formula>IF($U22&lt;7,TRUE,)</formula>
    </cfRule>
  </conditionalFormatting>
  <conditionalFormatting sqref="M23 M26:M60">
    <cfRule type="expression" dxfId="2646" priority="79" stopIfTrue="1">
      <formula>IF($U23&lt;6,TRUE,)</formula>
    </cfRule>
  </conditionalFormatting>
  <conditionalFormatting sqref="L23 L26:L60">
    <cfRule type="expression" dxfId="2645" priority="78" stopIfTrue="1">
      <formula>IF($U23&lt;5,TRUE,)</formula>
    </cfRule>
  </conditionalFormatting>
  <conditionalFormatting sqref="K23 K26:K60">
    <cfRule type="expression" dxfId="2644" priority="77" stopIfTrue="1">
      <formula>IF($U23&lt;4,TRUE,)</formula>
    </cfRule>
  </conditionalFormatting>
  <conditionalFormatting sqref="J23 J26:J60">
    <cfRule type="expression" dxfId="2643" priority="76" stopIfTrue="1">
      <formula>IF($U23&lt;3,TRUE,)</formula>
    </cfRule>
  </conditionalFormatting>
  <conditionalFormatting sqref="I23 I26:I60">
    <cfRule type="expression" dxfId="2642" priority="75" stopIfTrue="1">
      <formula>IF($U23&lt;2,TRUE,)</formula>
    </cfRule>
  </conditionalFormatting>
  <conditionalFormatting sqref="R22:R23">
    <cfRule type="expression" dxfId="2641" priority="28" stopIfTrue="1">
      <formula>IF(AND($X22="H",$Y22&lt;10),TRUE,)</formula>
    </cfRule>
  </conditionalFormatting>
  <conditionalFormatting sqref="L23">
    <cfRule type="expression" dxfId="2640" priority="27" stopIfTrue="1">
      <formula>IF(AND($X23="H",$Y23&lt;1),TRUE,)</formula>
    </cfRule>
  </conditionalFormatting>
  <conditionalFormatting sqref="M23">
    <cfRule type="expression" dxfId="2639" priority="26" stopIfTrue="1">
      <formula>IF(AND($X23="H",$Y23&lt;2),TRUE,)</formula>
    </cfRule>
  </conditionalFormatting>
  <conditionalFormatting sqref="O22:O23">
    <cfRule type="expression" dxfId="2638" priority="25" stopIfTrue="1">
      <formula>IF(AND($X22="H",$Y22&lt;4),TRUE,)</formula>
    </cfRule>
  </conditionalFormatting>
  <conditionalFormatting sqref="P22:P23">
    <cfRule type="expression" dxfId="2637" priority="24" stopIfTrue="1">
      <formula>IF(AND($X22="H",$Y22&lt;5),TRUE,)</formula>
    </cfRule>
  </conditionalFormatting>
  <conditionalFormatting sqref="Q22:Q23">
    <cfRule type="expression" dxfId="2636" priority="23" stopIfTrue="1">
      <formula>IF(AND($X22="H",$Y22&lt;8),TRUE,)</formula>
    </cfRule>
  </conditionalFormatting>
  <conditionalFormatting sqref="N22:N23">
    <cfRule type="expression" dxfId="2635" priority="22" stopIfTrue="1">
      <formula>IF(AND($X22="H",$Y22&lt;3),TRUE,)</formula>
    </cfRule>
  </conditionalFormatting>
  <conditionalFormatting sqref="H23">
    <cfRule type="expression" dxfId="2634" priority="83" stopIfTrue="1">
      <formula>IF($U23&lt;1,TRUE,)</formula>
    </cfRule>
  </conditionalFormatting>
  <dataValidations xWindow="867" yWindow="753" count="14">
    <dataValidation allowBlank="1" showErrorMessage="1" promptTitle="FORMAT" prompt="COMMENT-AaaaAaaa@deq.state.or.us where:_x000a__x000a_   COMMENT      identifies the address as a rulemaking public comment box_x000a__x000a_    -AaaaAaaa    is a hyphen followed by the very short code for the project, using  CamelBack with no spaces " sqref="G21:R21"/>
    <dataValidation allowBlank="1" showInputMessage="1" showErrorMessage="1" promptTitle="PROCESS IMPROVEMENT" prompt="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_x000a_ " sqref="D23:R23"/>
    <dataValidation allowBlank="1" showInputMessage="1" showErrorMessage="1" promptTitle="FORMAT" sqref="H19:R19 H8:R10"/>
    <dataValidation allowBlank="1" showInputMessage="1" showErrorMessage="1" promptTitle="FORMAT" prompt="##### = Accounting assigned project number_x000a__x000a__x000a_" sqref="G19"/>
    <dataValidation type="textLength" allowBlank="1" showInputMessage="1" showErrorMessage="1" errorTitle="CHARACTER LIMIT" error="Enter up to 8 characters" promptTitle="CODE NAME" prompt="Limited to eight characters and no spaces. Used with other codes below." sqref="G5">
      <formula1>0</formula1>
      <formula2>8</formula2>
    </dataValidation>
    <dataValidation type="textLength" allowBlank="1" showInputMessage="1" showErrorMessage="1" errorTitle="CHARACTER LIMIT" error="Limit number of charaters to 29." promptTitle="MEDIUM LENGTH IDENTIFIER" prompt="Maximum length = 29 characters. Used with Q-Time number and other places where you don't want the full project name but need more than the code name." sqref="H5:R5">
      <formula1>0</formula1>
      <formula2>29</formula2>
    </dataValidation>
    <dataValidation type="list" allowBlank="1" showInputMessage="1" showErrorMessage="1" promptTitle="SELECT FROM DROP DOWN" prompt="Select:_x000a__x000a_   WQ = Water Quality_x000a_   LQ = Land Quality_x000a_   AQ = Air Quality_x000a_   CP = Cross Program" sqref="P6:Q6">
      <formula1>"--blank--,WQ,LQ,AQ,CP"</formula1>
    </dataValidation>
    <dataValidation allowBlank="1" showInputMessage="1" showErrorMessage="1" promptTitle="FORMAT" prompt="##### = Accounting assigned Q-Time number_x000a__x000a__x000a_" sqref="G7:G10"/>
    <dataValidation type="textLength" allowBlank="1" showInputMessage="1" showErrorMessage="1" errorTitle="CHARACTER LIMIT" error="The Q-Time imposed character limit is 40._x000a_" promptTitle="FORMAT" sqref="H7:R7">
      <formula1>11</formula1>
      <formula2>40</formula2>
    </dataValidation>
    <dataValidation allowBlank="1" showErrorMessage="1" sqref="G20:R20 G15"/>
    <dataValidation allowBlank="1" showErrorMessage="1" promptTitle="FORMAT" prompt="RM-AaaaAaaa where:_x000a__x000a_    RM          indicates this is a rulemaking project_x000a__x000a_    -AaaaAaaa    is a hyphen followed by the very short code for the project, using  CamelBack with no spaces " sqref="G12:R12 G18:R18"/>
    <dataValidation allowBlank="1" showErrorMessage="1" promptTitle="FORMAT" prompt="RM-AaaaAaaa-yyyy where:_x000a__x000a_   -RM          indicates this is a rulemaking project_x000a__x000a_   -AaaaAaaa-    is the very short code for the project, using  CamelBack with no spaces and set off by hyphens _x000a__x000a_   yyyy   is the year of the annual rulemaking plan" sqref="G13:R13"/>
    <dataValidation allowBlank="1" showErrorMessage="1" promptTitle="FORMAT" prompt="RM-AaaaAaaa_x000a__x000a_  -AaaaAaaa    is a hyphen followed by the very short code for the project, using  CamelBack with no spaces " sqref="G14:R14"/>
    <dataValidation allowBlank="1" showInputMessage="1" showErrorMessage="1" promptTitle="ENTER PROJECT NAME" prompt="Enter the name of your rulemaking project here. Be sure to limit the title to a maximum of 15 words. This will be your rulemaking caption. DEQ's Best Practices are to limit to eight words." sqref="G4:R4"/>
  </dataValidations>
  <hyperlinks>
    <hyperlink ref="G15" r:id="rId1" display="\\deqhq1\Rule_Development\2013 Plan"/>
    <hyperlink ref="G21" r:id="rId2" display="Comment-AaaaAaaa@dep.state.or.us"/>
    <hyperlink ref="A1" location="R.0Header" display="⧀ Go to Content"/>
    <hyperlink ref="A7" r:id="rId3" display="⧀ Go to Q-Time"/>
    <hyperlink ref="G21:R21" r:id="rId4" display="mailto:Comment-AaaaAaaa@deq.state.or.us"/>
  </hyperlinks>
  <pageMargins left="0.56999999999999995" right="0.55000000000000004" top="0.75" bottom="0.75" header="0.3" footer="0.3"/>
  <pageSetup scale="94" orientation="portrait" r:id="rId5"/>
  <drawing r:id="rId6"/>
  <legacyDrawing r:id="rId7"/>
</worksheet>
</file>

<file path=xl/worksheets/sheet5.xml><?xml version="1.0" encoding="utf-8"?>
<worksheet xmlns="http://schemas.openxmlformats.org/spreadsheetml/2006/main" xmlns:r="http://schemas.openxmlformats.org/officeDocument/2006/relationships">
  <sheetPr codeName="Sheet8"/>
  <dimension ref="A1:AO22"/>
  <sheetViews>
    <sheetView showGridLines="0" zoomScaleNormal="100" workbookViewId="0">
      <selection activeCell="A24" sqref="A24"/>
    </sheetView>
  </sheetViews>
  <sheetFormatPr defaultColWidth="9" defaultRowHeight="20.25" outlineLevelCol="1"/>
  <cols>
    <col min="1" max="1" width="13.75" style="340" customWidth="1"/>
    <col min="2" max="2" width="3.625" customWidth="1"/>
    <col min="3" max="3" width="3.625" style="44" customWidth="1"/>
    <col min="4" max="4" width="25.625" style="104" customWidth="1"/>
    <col min="5" max="5" width="2.625" style="104" customWidth="1"/>
    <col min="6" max="6" width="25.625" style="104" customWidth="1"/>
    <col min="7" max="7" width="3" style="104" customWidth="1"/>
    <col min="8" max="8" width="25.625" style="104" customWidth="1"/>
    <col min="9" max="9" width="3.625" style="56" customWidth="1"/>
    <col min="10" max="10" width="3.625" style="64" customWidth="1"/>
    <col min="11" max="11" width="5.125" style="113" hidden="1" customWidth="1" outlineLevel="1"/>
    <col min="12" max="12" width="13.625" style="64" hidden="1" customWidth="1" outlineLevel="1"/>
    <col min="13" max="13" width="14.875" style="64" hidden="1" customWidth="1" outlineLevel="1"/>
    <col min="14" max="14" width="14.625" style="64" hidden="1" customWidth="1" outlineLevel="1"/>
    <col min="15" max="15" width="30.625" style="64" customWidth="1" collapsed="1"/>
    <col min="16" max="16" width="16.5" style="64" customWidth="1"/>
    <col min="17" max="17" width="18" style="64" customWidth="1"/>
    <col min="18" max="26" width="31.125" style="64" customWidth="1"/>
    <col min="27" max="41" width="9" style="64"/>
    <col min="42" max="16384" width="9" style="56"/>
  </cols>
  <sheetData>
    <row r="1" spans="1:41" s="104" customFormat="1" ht="15.75" customHeight="1">
      <c r="A1" s="350" t="s">
        <v>104</v>
      </c>
      <c r="B1" s="334"/>
      <c r="C1" s="334"/>
      <c r="D1" s="334"/>
      <c r="E1" s="334"/>
      <c r="F1" s="334"/>
      <c r="G1" s="334"/>
      <c r="H1" s="334"/>
      <c r="I1" s="334"/>
      <c r="J1" s="334"/>
      <c r="K1" s="113"/>
      <c r="L1" s="64"/>
      <c r="M1" s="64"/>
      <c r="N1" s="64"/>
      <c r="O1" s="64"/>
      <c r="P1" s="64"/>
      <c r="Q1" s="64"/>
      <c r="R1" s="64"/>
      <c r="S1" s="64"/>
      <c r="T1" s="64"/>
      <c r="U1" s="64"/>
      <c r="V1" s="64"/>
      <c r="W1" s="64"/>
      <c r="X1" s="64"/>
      <c r="Y1" s="64"/>
      <c r="Z1" s="64"/>
      <c r="AA1" s="64"/>
      <c r="AB1" s="64"/>
      <c r="AC1" s="64"/>
      <c r="AD1" s="64"/>
      <c r="AE1" s="64"/>
      <c r="AF1" s="64"/>
      <c r="AG1" s="64"/>
      <c r="AH1" s="64"/>
      <c r="AI1" s="64"/>
      <c r="AJ1" s="64"/>
      <c r="AK1" s="64"/>
      <c r="AL1" s="64"/>
      <c r="AM1" s="64"/>
      <c r="AN1" s="64"/>
      <c r="AO1" s="64"/>
    </row>
    <row r="2" spans="1:41" s="6" customFormat="1" ht="30" customHeight="1" thickBot="1">
      <c r="A2" s="350" t="s">
        <v>80</v>
      </c>
      <c r="B2" s="334"/>
      <c r="C2" s="248">
        <v>2</v>
      </c>
      <c r="D2" s="249" t="s">
        <v>42</v>
      </c>
      <c r="E2" s="249"/>
      <c r="F2" s="676" t="str">
        <f>R.1MediaAndLongName</f>
        <v>CP Division 12 Updates</v>
      </c>
      <c r="G2" s="676"/>
      <c r="H2" s="676"/>
      <c r="I2" s="250"/>
      <c r="J2" s="334"/>
      <c r="K2" s="64"/>
      <c r="L2" s="64"/>
      <c r="M2" s="64"/>
      <c r="N2" s="64"/>
      <c r="O2" s="170"/>
      <c r="P2" s="64"/>
      <c r="Q2" s="64"/>
      <c r="R2" s="64"/>
      <c r="S2" s="64"/>
      <c r="T2" s="64"/>
      <c r="U2" s="64"/>
      <c r="V2" s="64"/>
      <c r="W2" s="66"/>
      <c r="X2" s="66"/>
      <c r="Y2" s="66"/>
      <c r="Z2" s="66"/>
      <c r="AA2" s="66"/>
      <c r="AB2" s="66"/>
      <c r="AC2" s="66"/>
      <c r="AD2" s="66"/>
      <c r="AE2" s="66"/>
      <c r="AF2" s="66"/>
      <c r="AG2" s="66"/>
      <c r="AH2" s="66"/>
      <c r="AI2" s="66"/>
      <c r="AJ2" s="66"/>
      <c r="AK2" s="66"/>
      <c r="AL2" s="66"/>
      <c r="AM2" s="66"/>
      <c r="AN2" s="66"/>
      <c r="AO2" s="66"/>
    </row>
    <row r="3" spans="1:41" s="6" customFormat="1" ht="20.25" customHeight="1" thickTop="1">
      <c r="A3" s="337"/>
      <c r="B3" s="334"/>
      <c r="C3" s="136"/>
      <c r="D3" s="13"/>
      <c r="E3" s="13"/>
      <c r="F3" s="13"/>
      <c r="G3" s="13"/>
      <c r="H3" s="251"/>
      <c r="I3" s="148"/>
      <c r="J3" s="334"/>
      <c r="K3" s="167"/>
      <c r="L3" s="65"/>
      <c r="M3" s="65"/>
      <c r="N3" s="64"/>
      <c r="O3" s="305"/>
      <c r="P3" s="64"/>
      <c r="Q3" s="64"/>
      <c r="R3" s="64"/>
      <c r="S3" s="64"/>
      <c r="T3" s="64"/>
      <c r="U3" s="64"/>
      <c r="V3" s="64"/>
      <c r="W3" s="66"/>
      <c r="X3" s="66"/>
      <c r="Y3" s="66"/>
      <c r="Z3" s="66"/>
      <c r="AA3" s="66"/>
      <c r="AB3" s="66"/>
      <c r="AC3" s="66"/>
      <c r="AD3" s="66"/>
      <c r="AE3" s="66"/>
      <c r="AF3" s="66"/>
      <c r="AG3" s="66"/>
      <c r="AH3" s="66"/>
      <c r="AI3" s="66"/>
      <c r="AJ3" s="66"/>
      <c r="AK3" s="66"/>
      <c r="AL3" s="66"/>
      <c r="AM3" s="66"/>
      <c r="AN3" s="66"/>
      <c r="AO3" s="66"/>
    </row>
    <row r="4" spans="1:41" s="48" customFormat="1" ht="20.25" customHeight="1">
      <c r="A4" s="350" t="s">
        <v>107</v>
      </c>
      <c r="B4" s="334"/>
      <c r="C4" s="252"/>
      <c r="D4" s="304" t="s">
        <v>39</v>
      </c>
      <c r="E4" s="107"/>
      <c r="F4" s="46"/>
      <c r="G4" s="46"/>
      <c r="H4" s="47"/>
      <c r="I4" s="253"/>
      <c r="J4" s="334"/>
      <c r="K4" s="168"/>
      <c r="L4" s="168" t="s">
        <v>0</v>
      </c>
      <c r="M4" s="169"/>
      <c r="N4" s="168"/>
      <c r="O4" s="191"/>
      <c r="P4" s="171"/>
      <c r="Q4" s="171"/>
      <c r="R4" s="171"/>
      <c r="S4" s="171"/>
      <c r="T4" s="172"/>
      <c r="U4" s="168"/>
      <c r="V4" s="173"/>
      <c r="W4" s="174" t="s">
        <v>12</v>
      </c>
      <c r="X4" s="175"/>
      <c r="Y4" s="175"/>
      <c r="Z4" s="175"/>
      <c r="AA4" s="175"/>
      <c r="AB4" s="175"/>
      <c r="AC4" s="175"/>
      <c r="AD4" s="175"/>
      <c r="AE4" s="175"/>
      <c r="AF4" s="175"/>
      <c r="AG4" s="175"/>
      <c r="AH4" s="175"/>
      <c r="AI4" s="175"/>
      <c r="AJ4" s="175"/>
      <c r="AK4" s="175"/>
      <c r="AL4" s="175"/>
      <c r="AM4" s="175"/>
      <c r="AN4" s="175"/>
      <c r="AO4" s="175"/>
    </row>
    <row r="5" spans="1:41" s="1" customFormat="1" ht="59.25" customHeight="1">
      <c r="A5" s="338"/>
      <c r="B5" s="334"/>
      <c r="C5" s="254"/>
      <c r="D5" s="192" t="s">
        <v>31</v>
      </c>
      <c r="E5" s="193"/>
      <c r="F5" s="194" t="s">
        <v>37</v>
      </c>
      <c r="G5" s="194"/>
      <c r="H5" s="195" t="s">
        <v>38</v>
      </c>
      <c r="I5" s="255"/>
      <c r="J5" s="334"/>
      <c r="K5" s="176"/>
      <c r="L5" s="261" t="s">
        <v>93</v>
      </c>
      <c r="M5" s="177"/>
      <c r="N5" s="176"/>
      <c r="O5"/>
      <c r="P5" s="64"/>
      <c r="Q5" s="64"/>
      <c r="R5" s="178"/>
      <c r="S5" s="178"/>
      <c r="T5" s="178"/>
      <c r="U5" s="176"/>
      <c r="V5" s="111"/>
      <c r="W5" s="179"/>
      <c r="X5" s="180"/>
      <c r="Y5" s="180"/>
      <c r="Z5" s="180"/>
      <c r="AA5" s="180"/>
      <c r="AB5" s="180"/>
      <c r="AC5" s="180"/>
      <c r="AD5" s="180"/>
      <c r="AE5" s="180"/>
      <c r="AF5" s="180"/>
      <c r="AG5" s="180"/>
      <c r="AH5" s="180"/>
      <c r="AI5" s="180"/>
      <c r="AJ5" s="180"/>
      <c r="AK5" s="180"/>
      <c r="AL5" s="180"/>
      <c r="AM5" s="180"/>
      <c r="AN5" s="180"/>
      <c r="AO5" s="180"/>
    </row>
    <row r="6" spans="1:41" s="1" customFormat="1" ht="30" customHeight="1">
      <c r="A6" s="338"/>
      <c r="B6" s="334"/>
      <c r="C6" s="254"/>
      <c r="D6" s="669" t="s">
        <v>30</v>
      </c>
      <c r="E6" s="670"/>
      <c r="F6" s="671"/>
      <c r="G6" s="671"/>
      <c r="H6" s="196"/>
      <c r="I6" s="256"/>
      <c r="J6" s="334"/>
      <c r="K6" s="176"/>
      <c r="L6" s="290">
        <v>2</v>
      </c>
      <c r="M6" s="177"/>
      <c r="N6" s="176"/>
      <c r="O6" s="184"/>
      <c r="P6" s="64"/>
      <c r="Q6" s="64"/>
      <c r="R6" s="178"/>
      <c r="S6" s="178"/>
      <c r="T6" s="178"/>
      <c r="U6" s="176"/>
      <c r="V6" s="111"/>
      <c r="W6" s="179"/>
      <c r="X6" s="180"/>
      <c r="Y6" s="180"/>
      <c r="Z6" s="180"/>
      <c r="AA6" s="180"/>
      <c r="AB6" s="180"/>
      <c r="AC6" s="180"/>
      <c r="AD6" s="180"/>
      <c r="AE6" s="180"/>
      <c r="AF6" s="180"/>
      <c r="AG6" s="180"/>
      <c r="AH6" s="180"/>
      <c r="AI6" s="180"/>
      <c r="AJ6" s="180"/>
      <c r="AK6" s="180"/>
      <c r="AL6" s="180"/>
      <c r="AM6" s="180"/>
      <c r="AN6" s="180"/>
      <c r="AO6" s="180"/>
    </row>
    <row r="7" spans="1:41" s="1" customFormat="1" ht="17.25" customHeight="1">
      <c r="A7" s="338"/>
      <c r="B7" s="334"/>
      <c r="C7" s="254"/>
      <c r="D7" s="348" t="s">
        <v>102</v>
      </c>
      <c r="E7" s="299"/>
      <c r="F7" s="299"/>
      <c r="G7" s="299"/>
      <c r="H7" s="299"/>
      <c r="I7" s="256"/>
      <c r="J7" s="334"/>
      <c r="K7" s="176"/>
      <c r="L7" s="298"/>
      <c r="M7" s="177"/>
      <c r="N7" s="176"/>
      <c r="O7" s="184"/>
      <c r="P7" s="64"/>
      <c r="Q7" s="64"/>
      <c r="R7" s="178"/>
      <c r="S7" s="178"/>
      <c r="T7" s="178"/>
      <c r="U7" s="176"/>
      <c r="V7" s="111"/>
      <c r="W7" s="179"/>
      <c r="X7" s="180"/>
      <c r="Y7" s="180"/>
      <c r="Z7" s="180"/>
      <c r="AA7" s="180"/>
      <c r="AB7" s="180"/>
      <c r="AC7" s="180"/>
      <c r="AD7" s="180"/>
      <c r="AE7" s="180"/>
      <c r="AF7" s="180"/>
      <c r="AG7" s="180"/>
      <c r="AH7" s="180"/>
      <c r="AI7" s="180"/>
      <c r="AJ7" s="180"/>
      <c r="AK7" s="180"/>
      <c r="AL7" s="180"/>
      <c r="AM7" s="180"/>
      <c r="AN7" s="180"/>
      <c r="AO7" s="180"/>
    </row>
    <row r="8" spans="1:41" s="1" customFormat="1" ht="15.75" customHeight="1">
      <c r="A8" s="338"/>
      <c r="B8" s="334"/>
      <c r="C8" s="254"/>
      <c r="D8" s="678"/>
      <c r="E8" s="679"/>
      <c r="F8" s="679"/>
      <c r="G8" s="679"/>
      <c r="H8" s="680"/>
      <c r="I8" s="256"/>
      <c r="J8" s="334"/>
      <c r="K8" s="176"/>
      <c r="L8" s="298"/>
      <c r="M8" s="177"/>
      <c r="N8" s="176"/>
      <c r="O8" s="184"/>
      <c r="P8" s="64"/>
      <c r="Q8" s="64"/>
      <c r="R8" s="178"/>
      <c r="S8" s="178"/>
      <c r="T8" s="178"/>
      <c r="U8" s="176"/>
      <c r="V8" s="111"/>
      <c r="W8" s="179"/>
      <c r="X8" s="180"/>
      <c r="Y8" s="180"/>
      <c r="Z8" s="180"/>
      <c r="AA8" s="180"/>
      <c r="AB8" s="180"/>
      <c r="AC8" s="180"/>
      <c r="AD8" s="180"/>
      <c r="AE8" s="180"/>
      <c r="AF8" s="180"/>
      <c r="AG8" s="180"/>
      <c r="AH8" s="180"/>
      <c r="AI8" s="180"/>
      <c r="AJ8" s="180"/>
      <c r="AK8" s="180"/>
      <c r="AL8" s="180"/>
      <c r="AM8" s="180"/>
      <c r="AN8" s="180"/>
      <c r="AO8" s="180"/>
    </row>
    <row r="9" spans="1:41" s="3" customFormat="1" ht="30" customHeight="1">
      <c r="A9" s="580"/>
      <c r="B9" s="334"/>
      <c r="C9" s="136"/>
      <c r="D9" s="304" t="s">
        <v>32</v>
      </c>
      <c r="E9" s="107"/>
      <c r="F9" s="162"/>
      <c r="G9" s="162"/>
      <c r="H9" s="160"/>
      <c r="I9" s="257"/>
      <c r="J9" s="334"/>
      <c r="K9" s="182"/>
      <c r="L9" s="182" t="s">
        <v>0</v>
      </c>
      <c r="M9" s="183"/>
      <c r="N9" s="182"/>
      <c r="O9" s="191"/>
      <c r="P9" s="129"/>
      <c r="Q9" s="129"/>
      <c r="R9" s="129"/>
      <c r="S9" s="129"/>
      <c r="T9" s="185"/>
      <c r="U9" s="182"/>
      <c r="V9" s="186"/>
      <c r="W9" s="187" t="s">
        <v>12</v>
      </c>
      <c r="X9" s="188"/>
      <c r="Y9" s="188"/>
      <c r="Z9" s="188"/>
      <c r="AA9" s="188"/>
      <c r="AB9" s="188"/>
      <c r="AC9" s="188"/>
      <c r="AD9" s="188"/>
      <c r="AE9" s="188"/>
      <c r="AF9" s="188"/>
      <c r="AG9" s="188"/>
      <c r="AH9" s="188"/>
      <c r="AI9" s="188"/>
      <c r="AJ9" s="188"/>
      <c r="AK9" s="188"/>
      <c r="AL9" s="188"/>
      <c r="AM9" s="188"/>
      <c r="AN9" s="188"/>
      <c r="AO9" s="188"/>
    </row>
    <row r="10" spans="1:41" s="1" customFormat="1" ht="68.25" customHeight="1">
      <c r="A10" s="339"/>
      <c r="B10" s="334"/>
      <c r="C10" s="254"/>
      <c r="D10" s="293" t="s">
        <v>33</v>
      </c>
      <c r="E10" s="194"/>
      <c r="F10" s="194" t="s">
        <v>34</v>
      </c>
      <c r="G10" s="194"/>
      <c r="H10" s="294" t="s">
        <v>35</v>
      </c>
      <c r="I10" s="258"/>
      <c r="J10" s="334"/>
      <c r="K10" s="176"/>
      <c r="L10" s="261" t="s">
        <v>94</v>
      </c>
      <c r="M10" s="189"/>
      <c r="N10" s="176"/>
      <c r="O10" s="181"/>
      <c r="P10" s="190"/>
      <c r="Q10" s="190"/>
      <c r="R10" s="178"/>
      <c r="S10" s="178"/>
      <c r="T10" s="178"/>
      <c r="U10" s="176"/>
      <c r="V10" s="191"/>
      <c r="W10" s="179"/>
      <c r="X10" s="180"/>
      <c r="Y10" s="180"/>
      <c r="Z10" s="180"/>
      <c r="AA10" s="180"/>
      <c r="AB10" s="180"/>
      <c r="AC10" s="180"/>
      <c r="AD10" s="180"/>
      <c r="AE10" s="180"/>
      <c r="AF10" s="180"/>
      <c r="AG10" s="180"/>
      <c r="AH10" s="180"/>
      <c r="AI10" s="180"/>
      <c r="AJ10" s="180"/>
      <c r="AK10" s="180"/>
      <c r="AL10" s="180"/>
      <c r="AM10" s="180"/>
      <c r="AN10" s="180"/>
      <c r="AO10" s="180"/>
    </row>
    <row r="11" spans="1:41" s="1" customFormat="1" ht="30" customHeight="1">
      <c r="A11" s="338"/>
      <c r="B11" s="334"/>
      <c r="C11" s="254"/>
      <c r="D11" s="677" t="s">
        <v>30</v>
      </c>
      <c r="E11" s="670"/>
      <c r="F11" s="671"/>
      <c r="G11" s="671"/>
      <c r="H11" s="196"/>
      <c r="I11" s="256"/>
      <c r="J11" s="334"/>
      <c r="K11" s="176"/>
      <c r="L11" s="290">
        <v>1</v>
      </c>
      <c r="M11" s="177"/>
      <c r="N11" s="176"/>
      <c r="O11" s="64"/>
      <c r="P11" s="64"/>
      <c r="Q11" s="176"/>
      <c r="R11" s="178"/>
      <c r="S11" s="178"/>
      <c r="T11" s="178"/>
      <c r="U11" s="176"/>
      <c r="V11" s="111"/>
      <c r="W11" s="179"/>
      <c r="X11" s="180"/>
      <c r="Y11" s="180"/>
      <c r="Z11" s="180"/>
      <c r="AA11" s="180"/>
      <c r="AB11" s="180"/>
      <c r="AC11" s="180"/>
      <c r="AD11" s="180"/>
      <c r="AE11" s="180"/>
      <c r="AF11" s="180"/>
      <c r="AG11" s="180"/>
      <c r="AH11" s="180"/>
      <c r="AI11" s="180"/>
      <c r="AJ11" s="180"/>
      <c r="AK11" s="180"/>
      <c r="AL11" s="180"/>
      <c r="AM11" s="180"/>
      <c r="AN11" s="180"/>
      <c r="AO11" s="180"/>
    </row>
    <row r="12" spans="1:41" s="1" customFormat="1" ht="17.25" customHeight="1">
      <c r="A12" s="338"/>
      <c r="B12" s="334"/>
      <c r="C12" s="254"/>
      <c r="D12" s="348" t="s">
        <v>102</v>
      </c>
      <c r="E12" s="299"/>
      <c r="F12" s="299"/>
      <c r="G12" s="299"/>
      <c r="H12" s="299"/>
      <c r="I12" s="256"/>
      <c r="J12" s="334"/>
      <c r="K12" s="176"/>
      <c r="L12" s="298"/>
      <c r="M12" s="177"/>
      <c r="N12" s="176"/>
      <c r="O12" s="184"/>
      <c r="P12" s="64"/>
      <c r="Q12" s="64"/>
      <c r="R12" s="178"/>
      <c r="S12" s="178"/>
      <c r="T12" s="178"/>
      <c r="U12" s="176"/>
      <c r="V12" s="111"/>
      <c r="W12" s="179"/>
      <c r="X12" s="180"/>
      <c r="Y12" s="180"/>
      <c r="Z12" s="180"/>
      <c r="AA12" s="180"/>
      <c r="AB12" s="180"/>
      <c r="AC12" s="180"/>
      <c r="AD12" s="180"/>
      <c r="AE12" s="180"/>
      <c r="AF12" s="180"/>
      <c r="AG12" s="180"/>
      <c r="AH12" s="180"/>
      <c r="AI12" s="180"/>
      <c r="AJ12" s="180"/>
      <c r="AK12" s="180"/>
      <c r="AL12" s="180"/>
      <c r="AM12" s="180"/>
      <c r="AN12" s="180"/>
      <c r="AO12" s="180"/>
    </row>
    <row r="13" spans="1:41" s="1" customFormat="1" ht="15.75" customHeight="1">
      <c r="A13" s="338"/>
      <c r="B13" s="334"/>
      <c r="C13" s="254"/>
      <c r="D13" s="678"/>
      <c r="E13" s="679"/>
      <c r="F13" s="679"/>
      <c r="G13" s="679"/>
      <c r="H13" s="680"/>
      <c r="I13" s="256"/>
      <c r="J13" s="334"/>
      <c r="K13" s="176"/>
      <c r="L13" s="298"/>
      <c r="M13" s="177"/>
      <c r="N13" s="176"/>
      <c r="O13" s="184"/>
      <c r="P13" s="64"/>
      <c r="Q13" s="64"/>
      <c r="R13" s="178"/>
      <c r="S13" s="178"/>
      <c r="T13" s="178"/>
      <c r="U13" s="176"/>
      <c r="V13" s="111"/>
      <c r="W13" s="179"/>
      <c r="X13" s="180"/>
      <c r="Y13" s="180"/>
      <c r="Z13" s="180"/>
      <c r="AA13" s="180"/>
      <c r="AB13" s="180"/>
      <c r="AC13" s="180"/>
      <c r="AD13" s="180"/>
      <c r="AE13" s="180"/>
      <c r="AF13" s="180"/>
      <c r="AG13" s="180"/>
      <c r="AH13" s="180"/>
      <c r="AI13" s="180"/>
      <c r="AJ13" s="180"/>
      <c r="AK13" s="180"/>
      <c r="AL13" s="180"/>
      <c r="AM13" s="180"/>
      <c r="AN13" s="180"/>
      <c r="AO13" s="180"/>
    </row>
    <row r="14" spans="1:41" s="3" customFormat="1" ht="30" customHeight="1">
      <c r="A14" s="580"/>
      <c r="B14" s="334"/>
      <c r="C14" s="136"/>
      <c r="D14" s="304" t="s">
        <v>40</v>
      </c>
      <c r="E14" s="107"/>
      <c r="F14" s="162"/>
      <c r="G14" s="162"/>
      <c r="H14" s="160"/>
      <c r="I14" s="257"/>
      <c r="J14" s="334"/>
      <c r="K14" s="182"/>
      <c r="L14" s="182" t="s">
        <v>0</v>
      </c>
      <c r="M14" s="183"/>
      <c r="N14" s="182"/>
      <c r="O14" s="64"/>
      <c r="P14" s="129"/>
      <c r="Q14" s="129"/>
      <c r="R14" s="129"/>
      <c r="S14" s="129"/>
      <c r="T14" s="185"/>
      <c r="U14" s="182"/>
      <c r="V14" s="186"/>
      <c r="W14" s="187" t="s">
        <v>12</v>
      </c>
      <c r="X14" s="188"/>
      <c r="Y14" s="188"/>
      <c r="Z14" s="188"/>
      <c r="AA14" s="188"/>
      <c r="AB14" s="188"/>
      <c r="AC14" s="188"/>
      <c r="AD14" s="188"/>
      <c r="AE14" s="188"/>
      <c r="AF14" s="188"/>
      <c r="AG14" s="188"/>
      <c r="AH14" s="188"/>
      <c r="AI14" s="188"/>
      <c r="AJ14" s="188"/>
      <c r="AK14" s="188"/>
      <c r="AL14" s="188"/>
      <c r="AM14" s="188"/>
      <c r="AN14" s="188"/>
      <c r="AO14" s="188"/>
    </row>
    <row r="15" spans="1:41" s="1" customFormat="1" ht="68.25" customHeight="1">
      <c r="A15" s="339"/>
      <c r="B15" s="334"/>
      <c r="C15" s="254"/>
      <c r="D15" s="293" t="s">
        <v>36</v>
      </c>
      <c r="E15" s="194"/>
      <c r="F15" s="194" t="s">
        <v>44</v>
      </c>
      <c r="G15" s="194"/>
      <c r="H15" s="294" t="s">
        <v>50</v>
      </c>
      <c r="I15" s="258"/>
      <c r="J15" s="334"/>
      <c r="K15" s="176"/>
      <c r="L15" s="261" t="s">
        <v>95</v>
      </c>
      <c r="M15" s="189"/>
      <c r="N15" s="176"/>
      <c r="O15" s="64"/>
      <c r="P15" s="190"/>
      <c r="Q15" s="190" t="s">
        <v>0</v>
      </c>
      <c r="R15" s="178"/>
      <c r="S15" s="178"/>
      <c r="T15" s="178"/>
      <c r="U15" s="176"/>
      <c r="V15" s="191"/>
      <c r="W15" s="179"/>
      <c r="X15" s="180"/>
      <c r="Y15" s="180"/>
      <c r="Z15" s="180"/>
      <c r="AA15" s="180"/>
      <c r="AB15" s="180"/>
      <c r="AC15" s="180"/>
      <c r="AD15" s="180"/>
      <c r="AE15" s="180"/>
      <c r="AF15" s="180"/>
      <c r="AG15" s="180"/>
      <c r="AH15" s="180"/>
      <c r="AI15" s="180"/>
      <c r="AJ15" s="180"/>
      <c r="AK15" s="180"/>
      <c r="AL15" s="180"/>
      <c r="AM15" s="180"/>
      <c r="AN15" s="180"/>
      <c r="AO15" s="180"/>
    </row>
    <row r="16" spans="1:41" s="1" customFormat="1" ht="30" customHeight="1">
      <c r="A16" s="338"/>
      <c r="B16" s="334"/>
      <c r="C16" s="254"/>
      <c r="D16" s="677" t="s">
        <v>30</v>
      </c>
      <c r="E16" s="670"/>
      <c r="F16" s="671"/>
      <c r="G16" s="671"/>
      <c r="H16" s="196"/>
      <c r="I16" s="256"/>
      <c r="J16" s="334"/>
      <c r="K16" s="176"/>
      <c r="L16" s="290">
        <v>1</v>
      </c>
      <c r="M16" s="177"/>
      <c r="N16" s="176"/>
      <c r="O16" s="64"/>
      <c r="P16" s="64"/>
      <c r="Q16" s="64" t="s">
        <v>0</v>
      </c>
      <c r="R16" s="178"/>
      <c r="S16" s="178"/>
      <c r="T16" s="178"/>
      <c r="U16" s="176"/>
      <c r="V16" s="111"/>
      <c r="W16" s="179"/>
      <c r="X16" s="180"/>
      <c r="Y16" s="180"/>
      <c r="Z16" s="180"/>
      <c r="AA16" s="180"/>
      <c r="AB16" s="180"/>
      <c r="AC16" s="180"/>
      <c r="AD16" s="180"/>
      <c r="AE16" s="180"/>
      <c r="AF16" s="180"/>
      <c r="AG16" s="180"/>
      <c r="AH16" s="180"/>
      <c r="AI16" s="180"/>
      <c r="AJ16" s="180"/>
      <c r="AK16" s="180"/>
      <c r="AL16" s="180"/>
      <c r="AM16" s="180"/>
      <c r="AN16" s="180"/>
      <c r="AO16" s="180"/>
    </row>
    <row r="17" spans="1:41" s="1" customFormat="1" ht="17.25" customHeight="1">
      <c r="A17" s="338"/>
      <c r="B17" s="334"/>
      <c r="C17" s="254"/>
      <c r="D17" s="348" t="s">
        <v>102</v>
      </c>
      <c r="E17" s="299"/>
      <c r="F17" s="299"/>
      <c r="G17" s="299"/>
      <c r="H17" s="299"/>
      <c r="I17" s="256"/>
      <c r="J17" s="334"/>
      <c r="K17" s="176"/>
      <c r="L17" s="298"/>
      <c r="M17" s="177"/>
      <c r="N17" s="176"/>
      <c r="O17" s="184"/>
      <c r="P17" s="64"/>
      <c r="Q17" s="64"/>
      <c r="R17" s="178"/>
      <c r="S17" s="178"/>
      <c r="T17" s="178"/>
      <c r="U17" s="176"/>
      <c r="V17" s="111"/>
      <c r="W17" s="179"/>
      <c r="X17" s="180"/>
      <c r="Y17" s="180"/>
      <c r="Z17" s="180"/>
      <c r="AA17" s="180"/>
      <c r="AB17" s="180"/>
      <c r="AC17" s="180"/>
      <c r="AD17" s="180"/>
      <c r="AE17" s="180"/>
      <c r="AF17" s="180"/>
      <c r="AG17" s="180"/>
      <c r="AH17" s="180"/>
      <c r="AI17" s="180"/>
      <c r="AJ17" s="180"/>
      <c r="AK17" s="180"/>
      <c r="AL17" s="180"/>
      <c r="AM17" s="180"/>
      <c r="AN17" s="180"/>
      <c r="AO17" s="180"/>
    </row>
    <row r="18" spans="1:41" s="1" customFormat="1" ht="15.75" customHeight="1">
      <c r="A18" s="338"/>
      <c r="B18" s="334"/>
      <c r="C18" s="254"/>
      <c r="D18" s="673"/>
      <c r="E18" s="674"/>
      <c r="F18" s="674"/>
      <c r="G18" s="674"/>
      <c r="H18" s="675"/>
      <c r="I18" s="256"/>
      <c r="J18" s="334"/>
      <c r="K18" s="176"/>
      <c r="L18" s="298"/>
      <c r="M18" s="177"/>
      <c r="N18" s="176"/>
      <c r="O18" s="184"/>
      <c r="P18" s="64"/>
      <c r="Q18" s="64"/>
      <c r="R18" s="178"/>
      <c r="S18" s="178"/>
      <c r="T18" s="178"/>
      <c r="U18" s="176"/>
      <c r="V18" s="111"/>
      <c r="W18" s="179"/>
      <c r="X18" s="180"/>
      <c r="Y18" s="180"/>
      <c r="Z18" s="180"/>
      <c r="AA18" s="180"/>
      <c r="AB18" s="180"/>
      <c r="AC18" s="180"/>
      <c r="AD18" s="180"/>
      <c r="AE18" s="180"/>
      <c r="AF18" s="180"/>
      <c r="AG18" s="180"/>
      <c r="AH18" s="180"/>
      <c r="AI18" s="180"/>
      <c r="AJ18" s="180"/>
      <c r="AK18" s="180"/>
      <c r="AL18" s="180"/>
      <c r="AM18" s="180"/>
      <c r="AN18" s="180"/>
      <c r="AO18" s="180"/>
    </row>
    <row r="19" spans="1:41" s="5" customFormat="1" ht="30" customHeight="1">
      <c r="A19" s="337"/>
      <c r="B19" s="334"/>
      <c r="C19" s="259"/>
      <c r="D19" s="672" t="str">
        <f>"Please suggest process improvements to the "&amp;D2&amp;" worksheet."</f>
        <v>Please suggest process improvements to the DEQ resource risks worksheet.</v>
      </c>
      <c r="E19" s="672"/>
      <c r="F19" s="672"/>
      <c r="G19" s="672"/>
      <c r="H19" s="672"/>
      <c r="I19" s="260"/>
      <c r="J19" s="334"/>
      <c r="K19" s="225"/>
      <c r="L19" s="224"/>
      <c r="M19" s="224"/>
      <c r="N19" s="208"/>
      <c r="O19" s="208"/>
      <c r="P19" s="208"/>
      <c r="Q19" s="208"/>
      <c r="R19" s="208"/>
      <c r="S19" s="208"/>
      <c r="T19" s="208"/>
      <c r="U19" s="208"/>
      <c r="V19" s="208"/>
      <c r="W19" s="224"/>
      <c r="X19" s="224"/>
      <c r="Y19" s="224"/>
      <c r="Z19" s="224"/>
      <c r="AA19" s="224"/>
      <c r="AB19" s="224"/>
      <c r="AC19" s="224"/>
      <c r="AD19" s="224"/>
      <c r="AE19" s="224"/>
      <c r="AF19" s="224"/>
      <c r="AG19" s="224"/>
      <c r="AH19" s="224"/>
      <c r="AI19" s="224"/>
      <c r="AJ19" s="224"/>
      <c r="AK19" s="224"/>
      <c r="AL19" s="224"/>
      <c r="AM19" s="224"/>
      <c r="AN19" s="224"/>
      <c r="AO19" s="224"/>
    </row>
    <row r="20" spans="1:41" s="6" customFormat="1" ht="30.75" customHeight="1">
      <c r="A20" s="337"/>
      <c r="B20" s="334"/>
      <c r="C20" s="136"/>
      <c r="D20" s="666"/>
      <c r="E20" s="667"/>
      <c r="F20" s="667"/>
      <c r="G20" s="667"/>
      <c r="H20" s="668"/>
      <c r="I20" s="148"/>
      <c r="J20" s="334"/>
      <c r="K20" s="167"/>
      <c r="L20" s="65"/>
      <c r="M20" s="65"/>
      <c r="N20" s="64"/>
      <c r="O20" s="64"/>
      <c r="P20" s="64"/>
      <c r="Q20" s="64"/>
      <c r="R20" s="64"/>
      <c r="S20" s="64"/>
      <c r="T20" s="64"/>
      <c r="U20" s="64"/>
      <c r="V20" s="64"/>
      <c r="W20" s="66"/>
      <c r="X20" s="66"/>
      <c r="Y20" s="66"/>
      <c r="Z20" s="66"/>
      <c r="AA20" s="66"/>
      <c r="AB20" s="66"/>
      <c r="AC20" s="66"/>
      <c r="AD20" s="66"/>
      <c r="AE20" s="66"/>
      <c r="AF20" s="66"/>
      <c r="AG20" s="66"/>
      <c r="AH20" s="66"/>
      <c r="AI20" s="66"/>
      <c r="AJ20" s="66"/>
      <c r="AK20" s="66"/>
      <c r="AL20" s="66"/>
      <c r="AM20" s="66"/>
      <c r="AN20" s="66"/>
      <c r="AO20" s="66"/>
    </row>
    <row r="21" spans="1:41" ht="15.75" customHeight="1">
      <c r="A21" s="350" t="s">
        <v>108</v>
      </c>
      <c r="B21" s="334"/>
      <c r="C21" s="149"/>
      <c r="D21" s="12"/>
      <c r="E21" s="12"/>
      <c r="F21" s="12"/>
      <c r="G21" s="12"/>
      <c r="H21" s="12"/>
      <c r="I21" s="151"/>
      <c r="J21" s="334"/>
      <c r="K21" s="64"/>
    </row>
    <row r="22" spans="1:41" s="64" customFormat="1" ht="14.25">
      <c r="A22" s="340"/>
      <c r="B22" s="334"/>
      <c r="C22" s="334"/>
      <c r="D22" s="334"/>
      <c r="E22" s="334"/>
      <c r="F22" s="334"/>
      <c r="G22" s="334"/>
      <c r="H22" s="334"/>
      <c r="I22" s="334"/>
      <c r="J22" s="334"/>
      <c r="K22" s="113"/>
    </row>
  </sheetData>
  <sheetProtection sheet="1" scenarios="1" formatCells="0" formatRows="0" insertHyperlinks="0"/>
  <mergeCells count="12">
    <mergeCell ref="F2:H2"/>
    <mergeCell ref="D11:E11"/>
    <mergeCell ref="D16:E16"/>
    <mergeCell ref="F11:G11"/>
    <mergeCell ref="F16:G16"/>
    <mergeCell ref="D8:H8"/>
    <mergeCell ref="D13:H13"/>
    <mergeCell ref="D20:H20"/>
    <mergeCell ref="D6:E6"/>
    <mergeCell ref="F6:G6"/>
    <mergeCell ref="D19:H19"/>
    <mergeCell ref="D18:H18"/>
  </mergeCells>
  <conditionalFormatting sqref="H14:H15 H4:H5 H9:H10 H23:H57">
    <cfRule type="colorScale" priority="103">
      <colorScale>
        <cfvo type="num" val="0"/>
        <cfvo type="num" val="5"/>
        <cfvo type="num" val="10"/>
        <color rgb="FF00B050"/>
        <color rgb="FFFFFF00"/>
        <color rgb="FFFF0000"/>
      </colorScale>
    </cfRule>
  </conditionalFormatting>
  <conditionalFormatting sqref="D6:D7 H6:H7 F6:F7">
    <cfRule type="colorScale" priority="20">
      <colorScale>
        <cfvo type="min" val="0"/>
        <cfvo type="percentile" val="50"/>
        <cfvo type="max" val="0"/>
        <color rgb="FF00B050"/>
        <color rgb="FFFFEB84"/>
        <color rgb="FFC00000"/>
      </colorScale>
    </cfRule>
  </conditionalFormatting>
  <conditionalFormatting sqref="F11:F13 D11:D13 H11:H13">
    <cfRule type="colorScale" priority="19">
      <colorScale>
        <cfvo type="min" val="0"/>
        <cfvo type="percentile" val="50"/>
        <cfvo type="max" val="0"/>
        <color rgb="FF00B050"/>
        <color rgb="FFFFEB84"/>
        <color rgb="FFC00000"/>
      </colorScale>
    </cfRule>
  </conditionalFormatting>
  <conditionalFormatting sqref="F16:F18 D16:D18 H16:H18">
    <cfRule type="colorScale" priority="18">
      <colorScale>
        <cfvo type="min" val="0"/>
        <cfvo type="percentile" val="50"/>
        <cfvo type="max" val="0"/>
        <color rgb="FF00B050"/>
        <color rgb="FFFFEB84"/>
        <color rgb="FFC00000"/>
      </colorScale>
    </cfRule>
  </conditionalFormatting>
  <conditionalFormatting sqref="H9">
    <cfRule type="expression" dxfId="2633" priority="4510" stopIfTrue="1">
      <formula>IF(AND($N9="H",$O3&lt;5),TRUE,)</formula>
    </cfRule>
  </conditionalFormatting>
  <conditionalFormatting sqref="H10">
    <cfRule type="expression" dxfId="2632" priority="4512" stopIfTrue="1">
      <formula>IF(AND($N9="H",$O3&lt;2),TRUE,)</formula>
    </cfRule>
  </conditionalFormatting>
  <conditionalFormatting sqref="H14">
    <cfRule type="expression" dxfId="2631" priority="4515" stopIfTrue="1">
      <formula>IF(AND($N14="H",$O6&lt;5),TRUE,)</formula>
    </cfRule>
  </conditionalFormatting>
  <conditionalFormatting sqref="H15">
    <cfRule type="expression" dxfId="2630" priority="4516" stopIfTrue="1">
      <formula>IF(AND($N14="H",$O6&lt;2),TRUE,)</formula>
    </cfRule>
  </conditionalFormatting>
  <conditionalFormatting sqref="F12:F13 D12:D13 H12:H13">
    <cfRule type="colorScale" priority="17">
      <colorScale>
        <cfvo type="min" val="0"/>
        <cfvo type="percentile" val="50"/>
        <cfvo type="max" val="0"/>
        <color rgb="FF00B050"/>
        <color rgb="FFFFEB84"/>
        <color rgb="FFC00000"/>
      </colorScale>
    </cfRule>
  </conditionalFormatting>
  <conditionalFormatting sqref="F17:F18 D17:D18 H17:H18">
    <cfRule type="colorScale" priority="16">
      <colorScale>
        <cfvo type="min" val="0"/>
        <cfvo type="percentile" val="50"/>
        <cfvo type="max" val="0"/>
        <color rgb="FF00B050"/>
        <color rgb="FFFFEB84"/>
        <color rgb="FFC00000"/>
      </colorScale>
    </cfRule>
  </conditionalFormatting>
  <conditionalFormatting sqref="F13 D13 H13">
    <cfRule type="colorScale" priority="14">
      <colorScale>
        <cfvo type="min" val="0"/>
        <cfvo type="percentile" val="50"/>
        <cfvo type="max" val="0"/>
        <color rgb="FF00B050"/>
        <color rgb="FFFFEB84"/>
        <color rgb="FFC00000"/>
      </colorScale>
    </cfRule>
  </conditionalFormatting>
  <conditionalFormatting sqref="D13 F13 H13">
    <cfRule type="colorScale" priority="13">
      <colorScale>
        <cfvo type="min" val="0"/>
        <cfvo type="percentile" val="50"/>
        <cfvo type="max" val="0"/>
        <color rgb="FF00B050"/>
        <color rgb="FFFFEB84"/>
        <color rgb="FFC00000"/>
      </colorScale>
    </cfRule>
  </conditionalFormatting>
  <conditionalFormatting sqref="H4">
    <cfRule type="expression" dxfId="2629" priority="4523" stopIfTrue="1">
      <formula>IF(AND($N4="H",$O2&lt;5),TRUE,)</formula>
    </cfRule>
  </conditionalFormatting>
  <conditionalFormatting sqref="H5">
    <cfRule type="expression" dxfId="2628" priority="4524" stopIfTrue="1">
      <formula>IF(AND($N4="H",$O2&lt;2),TRUE,)</formula>
    </cfRule>
  </conditionalFormatting>
  <conditionalFormatting sqref="D17">
    <cfRule type="colorScale" priority="6">
      <colorScale>
        <cfvo type="min" val="0"/>
        <cfvo type="percentile" val="50"/>
        <cfvo type="max" val="0"/>
        <color rgb="FF00B050"/>
        <color rgb="FFFFEB84"/>
        <color rgb="FFC00000"/>
      </colorScale>
    </cfRule>
  </conditionalFormatting>
  <conditionalFormatting sqref="D17">
    <cfRule type="colorScale" priority="5">
      <colorScale>
        <cfvo type="min" val="0"/>
        <cfvo type="percentile" val="50"/>
        <cfvo type="max" val="0"/>
        <color rgb="FF00B050"/>
        <color rgb="FFFFEB84"/>
        <color rgb="FFC00000"/>
      </colorScale>
    </cfRule>
  </conditionalFormatting>
  <conditionalFormatting sqref="D8 F8 H8">
    <cfRule type="colorScale" priority="4">
      <colorScale>
        <cfvo type="min" val="0"/>
        <cfvo type="percentile" val="50"/>
        <cfvo type="max" val="0"/>
        <color rgb="FF00B050"/>
        <color rgb="FFFFEB84"/>
        <color rgb="FFC00000"/>
      </colorScale>
    </cfRule>
  </conditionalFormatting>
  <conditionalFormatting sqref="F8 D8 H8">
    <cfRule type="colorScale" priority="3">
      <colorScale>
        <cfvo type="min" val="0"/>
        <cfvo type="percentile" val="50"/>
        <cfvo type="max" val="0"/>
        <color rgb="FF00B050"/>
        <color rgb="FFFFEB84"/>
        <color rgb="FFC00000"/>
      </colorScale>
    </cfRule>
  </conditionalFormatting>
  <conditionalFormatting sqref="D8 F8 H8">
    <cfRule type="colorScale" priority="2">
      <colorScale>
        <cfvo type="min" val="0"/>
        <cfvo type="percentile" val="50"/>
        <cfvo type="max" val="0"/>
        <color rgb="FF00B050"/>
        <color rgb="FFFFEB84"/>
        <color rgb="FFC00000"/>
      </colorScale>
    </cfRule>
  </conditionalFormatting>
  <conditionalFormatting sqref="D8 F8 H8">
    <cfRule type="colorScale" priority="1">
      <colorScale>
        <cfvo type="min" val="0"/>
        <cfvo type="percentile" val="50"/>
        <cfvo type="max" val="0"/>
        <color rgb="FF00B050"/>
        <color rgb="FFFFEB84"/>
        <color rgb="FFC00000"/>
      </colorScale>
    </cfRule>
  </conditionalFormatting>
  <dataValidations xWindow="968" yWindow="553" count="2">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 sqref="D20:H20"/>
    <dataValidation allowBlank="1" showInputMessage="1" showErrorMessage="1" promptTitle="TOPIC IDEAS" prompt="Use this space to make notes and develop ideas about the topic above. As the rulemaking and topic progress, the team may abandon this space and develop the topic on the Proposal worksheet." sqref="D8:H8 D13:H13 D18:H18"/>
  </dataValidations>
  <hyperlinks>
    <hyperlink ref="A2" r:id="rId1"/>
    <hyperlink ref="A1" location="R.0Header" display="⧀ Go to Content"/>
    <hyperlink ref="A21" location="R.2Header" display="Go to Top"/>
    <hyperlink ref="A4" r:id="rId2" display=" on Q-net"/>
  </hyperlinks>
  <pageMargins left="0.41" right="0.25" top="0.38" bottom="0.4" header="0.3" footer="0.3"/>
  <pageSetup orientation="portrait" horizontalDpi="4294967293" verticalDpi="4294967293" r:id="rId3"/>
  <drawing r:id="rId4"/>
  <legacyDrawing r:id="rId5"/>
</worksheet>
</file>

<file path=xl/worksheets/sheet6.xml><?xml version="1.0" encoding="utf-8"?>
<worksheet xmlns="http://schemas.openxmlformats.org/spreadsheetml/2006/main" xmlns:r="http://schemas.openxmlformats.org/officeDocument/2006/relationships">
  <sheetPr codeName="Sheet9"/>
  <dimension ref="A1:AG85"/>
  <sheetViews>
    <sheetView showGridLines="0" topLeftCell="A40" zoomScaleNormal="100" workbookViewId="0">
      <selection activeCell="E43" sqref="E43"/>
    </sheetView>
  </sheetViews>
  <sheetFormatPr defaultColWidth="9" defaultRowHeight="20.25" outlineLevelCol="1"/>
  <cols>
    <col min="1" max="1" width="13.75" style="337" customWidth="1"/>
    <col min="2" max="2" width="3.625" customWidth="1"/>
    <col min="3" max="3" width="3.625" style="44" customWidth="1"/>
    <col min="4" max="4" width="40.5" style="102" customWidth="1"/>
    <col min="5" max="5" width="18.125" style="102" customWidth="1"/>
    <col min="6" max="15" width="1.625" style="102" customWidth="1"/>
    <col min="16" max="16" width="15.75" style="102" customWidth="1"/>
    <col min="17" max="17" width="3.625" style="102" customWidth="1"/>
    <col min="18" max="18" width="3.625" style="64" customWidth="1"/>
    <col min="19" max="19" width="9" style="113" hidden="1" customWidth="1" outlineLevel="1"/>
    <col min="20" max="20" width="14.875" style="64" hidden="1" customWidth="1" outlineLevel="1"/>
    <col min="21" max="21" width="14.625" style="64" hidden="1" customWidth="1" outlineLevel="1"/>
    <col min="22" max="22" width="30.625" style="64" customWidth="1" collapsed="1"/>
    <col min="23" max="23" width="16.5" style="64" customWidth="1"/>
    <col min="24" max="24" width="18" style="64" customWidth="1"/>
    <col min="25" max="33" width="31.125" style="64" customWidth="1"/>
    <col min="34" max="16384" width="9" style="102"/>
  </cols>
  <sheetData>
    <row r="1" spans="1:33" s="64" customFormat="1" ht="20.25" customHeight="1">
      <c r="A1" s="350" t="s">
        <v>104</v>
      </c>
      <c r="B1" s="334"/>
      <c r="C1" s="334"/>
      <c r="D1" s="334"/>
      <c r="E1" s="334"/>
      <c r="F1" s="334"/>
      <c r="G1" s="334"/>
      <c r="H1" s="334"/>
      <c r="I1" s="334"/>
      <c r="J1" s="334"/>
      <c r="K1" s="334"/>
      <c r="L1" s="334"/>
      <c r="M1" s="334"/>
      <c r="N1" s="334"/>
      <c r="O1" s="334"/>
      <c r="P1" s="334"/>
      <c r="Q1" s="334"/>
      <c r="R1" s="334"/>
      <c r="S1" s="113"/>
    </row>
    <row r="2" spans="1:33" s="6" customFormat="1" ht="30" customHeight="1" thickBot="1">
      <c r="A2" s="343"/>
      <c r="B2" s="334"/>
      <c r="C2" s="332">
        <v>3</v>
      </c>
      <c r="D2" s="331" t="s">
        <v>63</v>
      </c>
      <c r="E2" s="698" t="str">
        <f>R.1MediaAndLongName</f>
        <v>CP Division 12 Updates</v>
      </c>
      <c r="F2" s="698"/>
      <c r="G2" s="698"/>
      <c r="H2" s="698"/>
      <c r="I2" s="698"/>
      <c r="J2" s="698"/>
      <c r="K2" s="698"/>
      <c r="L2" s="698"/>
      <c r="M2" s="698"/>
      <c r="N2" s="698"/>
      <c r="O2" s="698"/>
      <c r="P2" s="698"/>
      <c r="Q2" s="154"/>
      <c r="R2" s="334"/>
      <c r="S2" s="119" t="str">
        <f>"R."&amp;$C$2&amp;"StaffCount"</f>
        <v>R.3StaffCount</v>
      </c>
      <c r="T2" s="119" t="str">
        <f>"R."&amp;$C$2&amp;"LowHrs"</f>
        <v>R.3LowHrs</v>
      </c>
      <c r="U2" s="349" t="str">
        <f>"R."&amp;$C$2&amp;"HighHrs"</f>
        <v>R.3HighHrs</v>
      </c>
      <c r="V2" s="120" t="s">
        <v>0</v>
      </c>
      <c r="W2" s="64"/>
      <c r="X2" s="64"/>
      <c r="Y2" s="64"/>
      <c r="Z2" s="64"/>
      <c r="AA2" s="64"/>
      <c r="AB2" s="64"/>
      <c r="AC2" s="64"/>
      <c r="AD2" s="66"/>
      <c r="AE2" s="66"/>
      <c r="AF2" s="66"/>
      <c r="AG2" s="66"/>
    </row>
    <row r="3" spans="1:33" s="6" customFormat="1" ht="20.25" customHeight="1" thickTop="1">
      <c r="A3" s="344"/>
      <c r="B3" s="334"/>
      <c r="C3" s="155"/>
      <c r="D3" s="96"/>
      <c r="E3" s="96"/>
      <c r="F3" s="96"/>
      <c r="G3" s="164"/>
      <c r="H3" s="164"/>
      <c r="I3" s="164"/>
      <c r="J3" s="97"/>
      <c r="K3" s="13"/>
      <c r="L3" s="13"/>
      <c r="M3" s="699" t="s">
        <v>57</v>
      </c>
      <c r="N3" s="699"/>
      <c r="O3" s="699"/>
      <c r="P3" s="699"/>
      <c r="Q3" s="156"/>
      <c r="R3" s="334"/>
      <c r="S3" s="354">
        <f>COUNTIFS(S13:S49,"&gt;0")</f>
        <v>5</v>
      </c>
      <c r="T3" s="355">
        <f>SUM(T13:T49)</f>
        <v>346</v>
      </c>
      <c r="U3" s="355">
        <f>SUM(U13:U49)</f>
        <v>760</v>
      </c>
      <c r="V3" s="120"/>
      <c r="W3" s="64"/>
      <c r="X3" s="64"/>
      <c r="Y3" s="64"/>
      <c r="Z3" s="64"/>
      <c r="AA3" s="64"/>
      <c r="AB3" s="64"/>
      <c r="AC3" s="64"/>
      <c r="AD3" s="66"/>
      <c r="AE3" s="66"/>
      <c r="AF3" s="66"/>
      <c r="AG3" s="66"/>
    </row>
    <row r="4" spans="1:33" s="6" customFormat="1">
      <c r="A4" s="344"/>
      <c r="B4" s="334"/>
      <c r="C4" s="155"/>
      <c r="D4" s="494" t="s">
        <v>55</v>
      </c>
      <c r="E4" s="81">
        <f>S3</f>
        <v>5</v>
      </c>
      <c r="F4" s="700" t="s">
        <v>54</v>
      </c>
      <c r="G4" s="700"/>
      <c r="H4" s="700"/>
      <c r="I4" s="700"/>
      <c r="J4" s="700"/>
      <c r="K4" s="700"/>
      <c r="L4" s="700"/>
      <c r="M4" s="701" t="str">
        <f>S4</f>
        <v>346-760</v>
      </c>
      <c r="N4" s="701"/>
      <c r="O4" s="701"/>
      <c r="P4" s="701"/>
      <c r="Q4" s="156"/>
      <c r="R4" s="334"/>
      <c r="S4" s="122" t="str">
        <f>IF(R.3StaffCount=0,"0",IF(R.3LowHrs=0,"0-"&amp;TEXT(R.3HighHrs,"#,###"),TEXT(R.3LowHrs,"#,###")&amp;"-"&amp;TEXT(R.3HighHrs,"#,###")))</f>
        <v>346-760</v>
      </c>
      <c r="T4" s="119" t="str">
        <f>"R."&amp;$C$2&amp;"LowDollars"</f>
        <v>R.3LowDollars</v>
      </c>
      <c r="U4" s="349" t="str">
        <f>"R."&amp;$C$2&amp;"HighDollars"</f>
        <v>R.3HighDollars</v>
      </c>
      <c r="V4" s="120"/>
      <c r="W4" s="64"/>
      <c r="X4" s="64"/>
      <c r="Y4" s="64"/>
      <c r="Z4" s="64"/>
      <c r="AA4" s="64"/>
      <c r="AB4" s="64"/>
      <c r="AC4" s="64"/>
      <c r="AD4" s="66"/>
      <c r="AE4" s="66"/>
      <c r="AF4" s="66"/>
      <c r="AG4" s="66"/>
    </row>
    <row r="5" spans="1:33" s="6" customFormat="1">
      <c r="A5" s="344"/>
      <c r="B5" s="334"/>
      <c r="C5" s="155"/>
      <c r="D5" s="494" t="s">
        <v>56</v>
      </c>
      <c r="E5" s="98">
        <f>R.AvgHrDEQCost</f>
        <v>58</v>
      </c>
      <c r="F5" s="700" t="s">
        <v>58</v>
      </c>
      <c r="G5" s="700"/>
      <c r="H5" s="700"/>
      <c r="I5" s="700"/>
      <c r="J5" s="700"/>
      <c r="K5" s="700"/>
      <c r="L5" s="700"/>
      <c r="M5" s="702" t="str">
        <f>S5</f>
        <v>$20,068-44,080</v>
      </c>
      <c r="N5" s="702"/>
      <c r="O5" s="702"/>
      <c r="P5" s="702"/>
      <c r="Q5" s="156"/>
      <c r="R5" s="334"/>
      <c r="S5" s="123" t="str">
        <f>IF(R.3StaffCount=0,"$0",IF(R.3LowDollars=0,"$0-"&amp;TEXT(R.3HighDollars,"#,###"),TEXT(R.3LowDollars,"$#,###")&amp;"-"&amp;TEXT(R.3HighDollars,"#,###")))</f>
        <v>$20,068-44,080</v>
      </c>
      <c r="T5" s="124">
        <f>T3*E5</f>
        <v>20068</v>
      </c>
      <c r="U5" s="124">
        <f>U3*E5</f>
        <v>44080</v>
      </c>
      <c r="V5" s="120"/>
      <c r="W5" s="64"/>
      <c r="X5" s="64"/>
      <c r="Y5" s="64"/>
      <c r="Z5" s="64"/>
      <c r="AA5" s="64"/>
      <c r="AB5" s="64"/>
      <c r="AC5" s="64"/>
      <c r="AD5" s="66"/>
      <c r="AE5" s="66"/>
      <c r="AF5" s="66"/>
      <c r="AG5" s="66"/>
    </row>
    <row r="6" spans="1:33" s="6" customFormat="1" ht="25.5" customHeight="1">
      <c r="A6" s="344"/>
      <c r="B6" s="334"/>
      <c r="C6" s="155"/>
      <c r="D6" s="447" t="s">
        <v>66</v>
      </c>
      <c r="E6" s="100"/>
      <c r="F6" s="99"/>
      <c r="G6" s="99"/>
      <c r="H6" s="99"/>
      <c r="I6" s="99"/>
      <c r="J6" s="99"/>
      <c r="K6" s="99"/>
      <c r="L6" s="99"/>
      <c r="M6" s="99"/>
      <c r="N6" s="99"/>
      <c r="O6" s="99"/>
      <c r="P6" s="99"/>
      <c r="Q6" s="156"/>
      <c r="R6" s="334"/>
      <c r="S6" s="450">
        <f>SUM(S13:S49)/R.3StaffCount</f>
        <v>3.4</v>
      </c>
      <c r="T6" s="66"/>
      <c r="U6" s="66"/>
      <c r="V6" s="120"/>
      <c r="W6" s="64"/>
      <c r="X6" s="64"/>
      <c r="Y6" s="64"/>
      <c r="Z6" s="64"/>
      <c r="AA6" s="64"/>
      <c r="AB6" s="64"/>
      <c r="AC6" s="64"/>
      <c r="AD6" s="66"/>
      <c r="AE6" s="66"/>
      <c r="AF6" s="66"/>
      <c r="AG6" s="66"/>
    </row>
    <row r="7" spans="1:33" s="69" customFormat="1" ht="15.75" customHeight="1">
      <c r="A7" s="344"/>
      <c r="B7" s="334"/>
      <c r="C7" s="157"/>
      <c r="D7" s="694"/>
      <c r="E7" s="695"/>
      <c r="F7" s="695"/>
      <c r="G7" s="695"/>
      <c r="H7" s="695"/>
      <c r="I7" s="695"/>
      <c r="J7" s="695"/>
      <c r="K7" s="695"/>
      <c r="L7" s="695"/>
      <c r="M7" s="695"/>
      <c r="N7" s="695"/>
      <c r="O7" s="695"/>
      <c r="P7" s="696"/>
      <c r="Q7" s="158"/>
      <c r="R7" s="334"/>
      <c r="S7" s="451" t="s">
        <v>0</v>
      </c>
      <c r="T7" s="449"/>
      <c r="U7" s="449"/>
      <c r="V7" s="126"/>
      <c r="W7" s="126" t="s">
        <v>0</v>
      </c>
      <c r="X7" s="126"/>
      <c r="Y7" s="126"/>
      <c r="Z7" s="126"/>
      <c r="AA7" s="126"/>
      <c r="AB7" s="126"/>
      <c r="AC7" s="126"/>
      <c r="AD7" s="125"/>
      <c r="AE7" s="125"/>
      <c r="AF7" s="125"/>
      <c r="AG7" s="125"/>
    </row>
    <row r="8" spans="1:33" s="69" customFormat="1" ht="14.25" customHeight="1">
      <c r="A8" s="344"/>
      <c r="B8" s="334"/>
      <c r="C8" s="157"/>
      <c r="D8" s="83"/>
      <c r="E8" s="83"/>
      <c r="F8" s="83"/>
      <c r="G8" s="83"/>
      <c r="H8" s="83"/>
      <c r="I8" s="83"/>
      <c r="J8" s="83"/>
      <c r="K8" s="83"/>
      <c r="L8" s="83"/>
      <c r="M8" s="83"/>
      <c r="N8" s="83"/>
      <c r="O8" s="83"/>
      <c r="P8" s="83"/>
      <c r="Q8" s="158"/>
      <c r="R8" s="334"/>
      <c r="S8"/>
      <c r="T8" s="125"/>
      <c r="U8" s="125"/>
      <c r="V8" s="126"/>
      <c r="W8" s="126"/>
      <c r="X8" s="126"/>
      <c r="Y8" s="126"/>
      <c r="Z8" s="126"/>
      <c r="AA8" s="126"/>
      <c r="AB8" s="126"/>
      <c r="AC8" s="126"/>
      <c r="AD8" s="125"/>
      <c r="AE8" s="125"/>
      <c r="AF8" s="125"/>
      <c r="AG8" s="125"/>
    </row>
    <row r="9" spans="1:33" s="219" customFormat="1" ht="30" customHeight="1">
      <c r="A9" s="343"/>
      <c r="B9" s="334"/>
      <c r="C9" s="392" t="s">
        <v>0</v>
      </c>
      <c r="D9" s="381" t="s">
        <v>118</v>
      </c>
      <c r="E9" s="386"/>
      <c r="F9" s="386"/>
      <c r="G9" s="386"/>
      <c r="H9" s="386"/>
      <c r="I9" s="386"/>
      <c r="J9" s="386"/>
      <c r="K9" s="386"/>
      <c r="L9" s="386"/>
      <c r="M9" s="386"/>
      <c r="N9" s="386"/>
      <c r="O9" s="386"/>
      <c r="P9" s="386"/>
      <c r="Q9" s="388"/>
      <c r="R9" s="334"/>
      <c r="S9"/>
      <c r="T9" s="216"/>
      <c r="U9" s="216"/>
      <c r="V9" s="218"/>
      <c r="W9" s="218"/>
      <c r="X9" s="218"/>
      <c r="Y9" s="218"/>
      <c r="Z9" s="218"/>
      <c r="AA9" s="218"/>
      <c r="AB9" s="218"/>
      <c r="AC9" s="218"/>
      <c r="AD9" s="216"/>
      <c r="AE9" s="216"/>
      <c r="AF9" s="216"/>
      <c r="AG9" s="216"/>
    </row>
    <row r="10" spans="1:33" s="33" customFormat="1" ht="14.25" customHeight="1">
      <c r="A10" s="344"/>
      <c r="B10" s="334"/>
      <c r="C10" s="136"/>
      <c r="D10" s="439" t="s">
        <v>64</v>
      </c>
      <c r="E10" s="369"/>
      <c r="F10" s="369"/>
      <c r="G10" s="369"/>
      <c r="H10" s="369"/>
      <c r="I10" s="369"/>
      <c r="J10" s="369"/>
      <c r="K10" s="369"/>
      <c r="L10" s="369"/>
      <c r="M10" s="369"/>
      <c r="N10" s="369"/>
      <c r="O10" s="369"/>
      <c r="P10" s="369"/>
      <c r="Q10" s="137"/>
      <c r="R10" s="334"/>
      <c r="S10"/>
      <c r="T10" s="127"/>
      <c r="U10" s="127"/>
      <c r="V10" s="129"/>
      <c r="W10" s="129"/>
      <c r="X10" s="129"/>
      <c r="Y10" s="129"/>
      <c r="Z10" s="129"/>
      <c r="AA10" s="129"/>
      <c r="AB10" s="129"/>
      <c r="AC10" s="129"/>
      <c r="AD10" s="127"/>
      <c r="AE10" s="127"/>
      <c r="AF10" s="127"/>
      <c r="AG10" s="127"/>
    </row>
    <row r="11" spans="1:33" s="28" customFormat="1" ht="131.25" customHeight="1">
      <c r="A11" s="344"/>
      <c r="B11" s="334"/>
      <c r="C11" s="370"/>
      <c r="D11" s="703" t="s">
        <v>99</v>
      </c>
      <c r="E11" s="704"/>
      <c r="F11" s="704"/>
      <c r="G11" s="704"/>
      <c r="H11" s="704"/>
      <c r="I11" s="704"/>
      <c r="J11" s="704"/>
      <c r="K11" s="704"/>
      <c r="L11" s="704"/>
      <c r="M11" s="704"/>
      <c r="N11" s="704"/>
      <c r="O11" s="704"/>
      <c r="P11" s="705"/>
      <c r="Q11" s="139"/>
      <c r="R11" s="334"/>
      <c r="S11"/>
      <c r="T11" s="130"/>
      <c r="U11" s="130"/>
      <c r="V11" s="64"/>
      <c r="W11" s="64"/>
      <c r="X11" s="64"/>
      <c r="Y11" s="64"/>
      <c r="Z11" s="64"/>
      <c r="AA11" s="64"/>
      <c r="AB11" s="64"/>
      <c r="AC11" s="64"/>
      <c r="AD11" s="130"/>
      <c r="AE11" s="130"/>
      <c r="AF11" s="130"/>
      <c r="AG11" s="130"/>
    </row>
    <row r="12" spans="1:33" s="33" customFormat="1" ht="14.25" customHeight="1">
      <c r="A12" s="344"/>
      <c r="B12" s="334"/>
      <c r="C12" s="233"/>
      <c r="D12" s="446" t="s">
        <v>60</v>
      </c>
      <c r="E12" s="365" t="s">
        <v>18</v>
      </c>
      <c r="F12" s="697" t="s">
        <v>19</v>
      </c>
      <c r="G12" s="697"/>
      <c r="H12" s="697"/>
      <c r="I12" s="697"/>
      <c r="J12" s="697"/>
      <c r="K12" s="697"/>
      <c r="L12" s="697"/>
      <c r="M12" s="697"/>
      <c r="N12" s="697"/>
      <c r="O12" s="697"/>
      <c r="P12" s="278"/>
      <c r="Q12" s="137"/>
      <c r="R12" s="334"/>
      <c r="S12"/>
      <c r="T12" s="229"/>
      <c r="U12" s="229"/>
      <c r="V12" s="230"/>
      <c r="W12" s="230"/>
      <c r="X12" s="230"/>
      <c r="Y12" s="230"/>
      <c r="Z12" s="230"/>
      <c r="AA12" s="230"/>
      <c r="AB12" s="230"/>
      <c r="AC12" s="230"/>
      <c r="AD12" s="127"/>
      <c r="AE12" s="127"/>
      <c r="AF12" s="127"/>
      <c r="AG12" s="127"/>
    </row>
    <row r="13" spans="1:33" s="28" customFormat="1">
      <c r="A13" s="344"/>
      <c r="B13" s="334"/>
      <c r="C13" s="138"/>
      <c r="D13" s="603" t="s">
        <v>599</v>
      </c>
      <c r="E13" s="30" t="s">
        <v>235</v>
      </c>
      <c r="F13" s="71">
        <v>1</v>
      </c>
      <c r="G13" s="72">
        <v>2</v>
      </c>
      <c r="H13" s="73">
        <v>3</v>
      </c>
      <c r="I13" s="74">
        <v>4</v>
      </c>
      <c r="J13" s="75">
        <v>5</v>
      </c>
      <c r="K13" s="76">
        <v>6</v>
      </c>
      <c r="L13" s="77">
        <v>7</v>
      </c>
      <c r="M13" s="78">
        <v>8</v>
      </c>
      <c r="N13" s="79">
        <v>9</v>
      </c>
      <c r="O13" s="80">
        <v>10</v>
      </c>
      <c r="P13" s="53"/>
      <c r="Q13" s="139"/>
      <c r="R13" s="334"/>
      <c r="S13" s="133">
        <f>VLOOKUP($E13,R.VL_DEQResourcesInvolved,2,FALSE)</f>
        <v>5</v>
      </c>
      <c r="T13" s="121">
        <f>VLOOKUP($E13,R.VL_DEQResourcesInvolved,3,FALSE)</f>
        <v>170</v>
      </c>
      <c r="U13" s="121">
        <f>IF(S13=10,T13,VLOOKUP($E13,R.VL_DEQResourcesInvolved,4,FALSE))</f>
        <v>340</v>
      </c>
      <c r="V13" s="575" t="s">
        <v>587</v>
      </c>
      <c r="W13" s="64"/>
      <c r="X13" s="64"/>
      <c r="Y13" s="64"/>
      <c r="Z13" s="64"/>
      <c r="AA13" s="64"/>
      <c r="AB13" s="64"/>
      <c r="AC13" s="64"/>
      <c r="AD13" s="130"/>
      <c r="AE13" s="130"/>
      <c r="AF13" s="130"/>
      <c r="AG13" s="130"/>
    </row>
    <row r="14" spans="1:33" s="28" customFormat="1" ht="14.25" customHeight="1">
      <c r="A14" s="344"/>
      <c r="B14" s="334"/>
      <c r="C14" s="376"/>
      <c r="D14" s="377"/>
      <c r="E14" s="432"/>
      <c r="F14" s="432"/>
      <c r="G14" s="432"/>
      <c r="H14" s="432"/>
      <c r="I14" s="432"/>
      <c r="J14" s="432"/>
      <c r="K14" s="432"/>
      <c r="L14" s="432"/>
      <c r="M14" s="432"/>
      <c r="N14" s="432"/>
      <c r="O14" s="432"/>
      <c r="P14" s="432"/>
      <c r="Q14" s="379"/>
      <c r="R14" s="334"/>
      <c r="S14"/>
      <c r="T14" s="131"/>
      <c r="U14" s="131"/>
      <c r="V14" s="64"/>
      <c r="W14" s="64"/>
      <c r="X14" s="64"/>
      <c r="Y14" s="64"/>
      <c r="Z14" s="64"/>
      <c r="AA14" s="64"/>
      <c r="AB14" s="64"/>
      <c r="AC14" s="64"/>
      <c r="AD14" s="130"/>
      <c r="AE14" s="130"/>
      <c r="AF14" s="130"/>
      <c r="AG14" s="130"/>
    </row>
    <row r="15" spans="1:33" s="219" customFormat="1" ht="30" customHeight="1">
      <c r="A15" s="343"/>
      <c r="B15" s="334"/>
      <c r="C15" s="243"/>
      <c r="D15" s="304" t="s">
        <v>216</v>
      </c>
      <c r="E15" s="247"/>
      <c r="F15" s="371"/>
      <c r="G15" s="371"/>
      <c r="H15" s="371"/>
      <c r="I15" s="371"/>
      <c r="J15" s="371"/>
      <c r="K15" s="371"/>
      <c r="L15" s="371"/>
      <c r="M15" s="371"/>
      <c r="N15" s="371"/>
      <c r="O15" s="371"/>
      <c r="P15" s="371"/>
      <c r="Q15" s="244"/>
      <c r="R15" s="334"/>
      <c r="S15"/>
      <c r="T15" s="217"/>
      <c r="U15" s="217"/>
      <c r="V15" s="218"/>
      <c r="W15" s="218"/>
      <c r="X15" s="218"/>
      <c r="Y15" s="218"/>
      <c r="Z15" s="218"/>
      <c r="AA15" s="218"/>
      <c r="AB15" s="218"/>
      <c r="AC15" s="218"/>
      <c r="AD15" s="216"/>
      <c r="AE15" s="216"/>
      <c r="AF15" s="216"/>
      <c r="AG15" s="216"/>
    </row>
    <row r="16" spans="1:33" s="33" customFormat="1" ht="14.25" customHeight="1">
      <c r="A16" s="344"/>
      <c r="B16" s="334"/>
      <c r="C16" s="136"/>
      <c r="D16" s="443" t="s">
        <v>64</v>
      </c>
      <c r="E16" s="94"/>
      <c r="F16" s="94"/>
      <c r="G16" s="94"/>
      <c r="H16" s="94"/>
      <c r="I16" s="94"/>
      <c r="J16" s="94"/>
      <c r="K16" s="94"/>
      <c r="L16" s="94"/>
      <c r="M16" s="94"/>
      <c r="N16" s="94"/>
      <c r="O16" s="94"/>
      <c r="P16" s="94"/>
      <c r="Q16" s="137"/>
      <c r="R16" s="334"/>
      <c r="S16"/>
      <c r="T16" s="131"/>
      <c r="U16" s="131"/>
      <c r="V16" s="129"/>
      <c r="W16" s="129"/>
      <c r="X16" s="129"/>
      <c r="Y16" s="129"/>
      <c r="Z16" s="129"/>
      <c r="AA16" s="129"/>
      <c r="AB16" s="129"/>
      <c r="AC16" s="129"/>
      <c r="AD16" s="127"/>
      <c r="AE16" s="127"/>
      <c r="AF16" s="127"/>
      <c r="AG16" s="127"/>
    </row>
    <row r="17" spans="1:33" s="28" customFormat="1" ht="154.9" customHeight="1">
      <c r="A17" s="344"/>
      <c r="B17" s="334"/>
      <c r="C17" s="138"/>
      <c r="D17" s="681" t="s">
        <v>172</v>
      </c>
      <c r="E17" s="682"/>
      <c r="F17" s="682"/>
      <c r="G17" s="682"/>
      <c r="H17" s="682"/>
      <c r="I17" s="682"/>
      <c r="J17" s="682"/>
      <c r="K17" s="682"/>
      <c r="L17" s="682"/>
      <c r="M17" s="682"/>
      <c r="N17" s="682"/>
      <c r="O17" s="682"/>
      <c r="P17" s="683"/>
      <c r="Q17" s="139"/>
      <c r="R17" s="334"/>
      <c r="S17"/>
      <c r="T17" s="131"/>
      <c r="U17" s="131"/>
      <c r="V17" s="64"/>
      <c r="W17" s="64"/>
      <c r="X17" s="64"/>
      <c r="Y17" s="64"/>
      <c r="Z17" s="64"/>
      <c r="AA17" s="64"/>
      <c r="AB17" s="64"/>
      <c r="AC17" s="64"/>
      <c r="AD17" s="130"/>
      <c r="AE17" s="130"/>
      <c r="AF17" s="130"/>
      <c r="AG17" s="130"/>
    </row>
    <row r="18" spans="1:33" s="203" customFormat="1" ht="14.25" customHeight="1">
      <c r="A18" s="344"/>
      <c r="B18" s="334"/>
      <c r="C18" s="210"/>
      <c r="D18" s="442" t="s">
        <v>60</v>
      </c>
      <c r="E18" s="291" t="s">
        <v>18</v>
      </c>
      <c r="F18" s="291" t="s">
        <v>19</v>
      </c>
      <c r="G18" s="291"/>
      <c r="H18" s="291"/>
      <c r="I18" s="291"/>
      <c r="J18" s="291"/>
      <c r="K18" s="291"/>
      <c r="L18" s="291"/>
      <c r="M18" s="291"/>
      <c r="N18" s="291"/>
      <c r="O18" s="291"/>
      <c r="P18" s="215" t="s">
        <v>0</v>
      </c>
      <c r="Q18" s="211"/>
      <c r="R18" s="334"/>
      <c r="S18"/>
      <c r="T18" s="205"/>
      <c r="U18" s="205"/>
      <c r="V18" s="202"/>
      <c r="W18" s="202"/>
      <c r="X18" s="202"/>
      <c r="Y18" s="202"/>
      <c r="Z18" s="202"/>
      <c r="AA18" s="202"/>
      <c r="AB18" s="202"/>
      <c r="AC18" s="202"/>
      <c r="AD18" s="188"/>
      <c r="AE18" s="188"/>
      <c r="AF18" s="188"/>
      <c r="AG18" s="188"/>
    </row>
    <row r="19" spans="1:33" s="28" customFormat="1" ht="20.25" customHeight="1">
      <c r="A19" s="344"/>
      <c r="B19" s="334"/>
      <c r="C19" s="138"/>
      <c r="D19" s="603" t="s">
        <v>600</v>
      </c>
      <c r="E19" s="30" t="s">
        <v>232</v>
      </c>
      <c r="F19" s="71">
        <v>1</v>
      </c>
      <c r="G19" s="72">
        <v>2</v>
      </c>
      <c r="H19" s="73">
        <v>3</v>
      </c>
      <c r="I19" s="74">
        <v>4</v>
      </c>
      <c r="J19" s="75">
        <v>5</v>
      </c>
      <c r="K19" s="76">
        <v>6</v>
      </c>
      <c r="L19" s="77">
        <v>7</v>
      </c>
      <c r="M19" s="78">
        <v>8</v>
      </c>
      <c r="N19" s="79">
        <v>9</v>
      </c>
      <c r="O19" s="80">
        <v>10</v>
      </c>
      <c r="P19" s="23"/>
      <c r="Q19" s="139"/>
      <c r="R19" s="334"/>
      <c r="S19" s="133">
        <f>VLOOKUP($E19,R.VL_DEQResourcesInvolved,2,FALSE)</f>
        <v>2</v>
      </c>
      <c r="T19" s="121">
        <f>VLOOKUP($E19,R.VL_DEQResourcesInvolved,3,FALSE)</f>
        <v>8</v>
      </c>
      <c r="U19" s="121">
        <f>IF(S19=10,T19,VLOOKUP($E19,R.VL_DEQResourcesInvolved,4,FALSE))</f>
        <v>40</v>
      </c>
      <c r="V19" s="575" t="s">
        <v>587</v>
      </c>
      <c r="W19" s="64"/>
      <c r="X19" s="64"/>
      <c r="Y19" s="64"/>
      <c r="Z19" s="64"/>
      <c r="AA19" s="64"/>
      <c r="AB19" s="64"/>
      <c r="AC19" s="64"/>
      <c r="AD19" s="130"/>
      <c r="AE19" s="130"/>
      <c r="AF19" s="130"/>
      <c r="AG19" s="130"/>
    </row>
    <row r="20" spans="1:33" s="28" customFormat="1" ht="14.25" customHeight="1">
      <c r="A20" s="344"/>
      <c r="B20" s="334"/>
      <c r="C20" s="140"/>
      <c r="D20" s="109"/>
      <c r="E20" s="435"/>
      <c r="F20" s="53"/>
      <c r="G20" s="53"/>
      <c r="H20" s="53"/>
      <c r="I20" s="53"/>
      <c r="J20" s="53"/>
      <c r="K20" s="53"/>
      <c r="L20" s="53"/>
      <c r="M20" s="53"/>
      <c r="N20" s="53"/>
      <c r="O20" s="53"/>
      <c r="P20" s="53"/>
      <c r="Q20" s="141"/>
      <c r="R20" s="334"/>
      <c r="S20"/>
      <c r="T20" s="134"/>
      <c r="U20" s="134"/>
      <c r="V20" s="64"/>
      <c r="W20" s="64"/>
      <c r="X20" s="64"/>
      <c r="Y20" s="64"/>
      <c r="Z20" s="64"/>
      <c r="AA20" s="64"/>
      <c r="AB20" s="64"/>
      <c r="AC20" s="64"/>
      <c r="AD20" s="130"/>
      <c r="AE20" s="130"/>
      <c r="AF20" s="130"/>
      <c r="AG20" s="130"/>
    </row>
    <row r="21" spans="1:33" s="219" customFormat="1" ht="30" customHeight="1">
      <c r="A21" s="350" t="s">
        <v>107</v>
      </c>
      <c r="B21" s="334"/>
      <c r="C21" s="385"/>
      <c r="D21" s="513" t="s">
        <v>217</v>
      </c>
      <c r="E21" s="386"/>
      <c r="F21" s="387"/>
      <c r="G21" s="387"/>
      <c r="H21" s="387"/>
      <c r="I21" s="387"/>
      <c r="J21" s="387"/>
      <c r="K21" s="387"/>
      <c r="L21" s="387"/>
      <c r="M21" s="387"/>
      <c r="N21" s="387"/>
      <c r="O21" s="387"/>
      <c r="P21" s="386"/>
      <c r="Q21" s="388"/>
      <c r="R21" s="334"/>
      <c r="S21"/>
      <c r="T21" s="217"/>
      <c r="U21" s="217"/>
      <c r="V21" s="218"/>
      <c r="W21" s="218"/>
      <c r="X21" s="218"/>
      <c r="Y21" s="218"/>
      <c r="Z21" s="218"/>
      <c r="AA21" s="218"/>
      <c r="AB21" s="218"/>
      <c r="AC21" s="218"/>
      <c r="AD21" s="216"/>
      <c r="AE21" s="216"/>
      <c r="AF21" s="216"/>
      <c r="AG21" s="216"/>
    </row>
    <row r="22" spans="1:33" s="33" customFormat="1" ht="14.25" customHeight="1">
      <c r="A22" s="344"/>
      <c r="B22" s="334"/>
      <c r="C22" s="136"/>
      <c r="D22" s="443" t="s">
        <v>64</v>
      </c>
      <c r="E22" s="94"/>
      <c r="F22" s="94"/>
      <c r="G22" s="94"/>
      <c r="H22" s="94"/>
      <c r="I22" s="94"/>
      <c r="J22" s="94"/>
      <c r="K22" s="94"/>
      <c r="L22" s="94"/>
      <c r="M22" s="94"/>
      <c r="N22" s="94"/>
      <c r="O22" s="94"/>
      <c r="P22" s="94"/>
      <c r="Q22" s="137"/>
      <c r="R22" s="334"/>
      <c r="S22"/>
      <c r="T22" s="131"/>
      <c r="U22" s="131"/>
      <c r="V22" s="129"/>
      <c r="W22" s="129"/>
      <c r="X22" s="129"/>
      <c r="Y22" s="129"/>
      <c r="Z22" s="129"/>
      <c r="AA22" s="129"/>
      <c r="AB22" s="129"/>
      <c r="AC22" s="129"/>
      <c r="AD22" s="127"/>
      <c r="AE22" s="127"/>
      <c r="AF22" s="127"/>
      <c r="AG22" s="127"/>
    </row>
    <row r="23" spans="1:33" s="28" customFormat="1" ht="89.25" customHeight="1">
      <c r="A23" s="344"/>
      <c r="B23" s="334"/>
      <c r="C23" s="138"/>
      <c r="D23" s="681" t="s">
        <v>65</v>
      </c>
      <c r="E23" s="682"/>
      <c r="F23" s="682"/>
      <c r="G23" s="682"/>
      <c r="H23" s="682"/>
      <c r="I23" s="682"/>
      <c r="J23" s="682"/>
      <c r="K23" s="682"/>
      <c r="L23" s="682"/>
      <c r="M23" s="682"/>
      <c r="N23" s="682"/>
      <c r="O23" s="682"/>
      <c r="P23" s="683"/>
      <c r="Q23" s="139"/>
      <c r="R23" s="334"/>
      <c r="S23"/>
      <c r="T23" s="131"/>
      <c r="U23" s="131"/>
      <c r="V23" s="64"/>
      <c r="W23" s="64"/>
      <c r="X23" s="64"/>
      <c r="Y23" s="64"/>
      <c r="Z23" s="64"/>
      <c r="AA23" s="64"/>
      <c r="AB23" s="64"/>
      <c r="AC23" s="64"/>
      <c r="AD23" s="130"/>
      <c r="AE23" s="130"/>
      <c r="AF23" s="130"/>
      <c r="AG23" s="130"/>
    </row>
    <row r="24" spans="1:33" s="33" customFormat="1" ht="14.25" customHeight="1">
      <c r="A24" s="344"/>
      <c r="B24" s="334"/>
      <c r="C24" s="232"/>
      <c r="D24" s="442" t="s">
        <v>60</v>
      </c>
      <c r="E24" s="292" t="s">
        <v>18</v>
      </c>
      <c r="F24" s="292" t="s">
        <v>19</v>
      </c>
      <c r="G24" s="292"/>
      <c r="H24" s="292"/>
      <c r="I24" s="292"/>
      <c r="J24" s="292"/>
      <c r="K24" s="292"/>
      <c r="L24" s="292"/>
      <c r="M24" s="292"/>
      <c r="N24" s="292"/>
      <c r="O24" s="292"/>
      <c r="P24" s="231" t="s">
        <v>0</v>
      </c>
      <c r="Q24" s="137"/>
      <c r="R24" s="334"/>
      <c r="S24"/>
      <c r="T24" s="229"/>
      <c r="U24" s="229"/>
      <c r="V24" s="230"/>
      <c r="W24" s="230"/>
      <c r="X24" s="230"/>
      <c r="Y24" s="230"/>
      <c r="Z24" s="230"/>
      <c r="AA24" s="230"/>
      <c r="AB24" s="230"/>
      <c r="AC24" s="230"/>
      <c r="AD24" s="127"/>
      <c r="AE24" s="127"/>
      <c r="AF24" s="127"/>
      <c r="AG24" s="127"/>
    </row>
    <row r="25" spans="1:33" s="28" customFormat="1" ht="20.25" customHeight="1">
      <c r="A25" s="344"/>
      <c r="B25" s="334"/>
      <c r="C25" s="138"/>
      <c r="D25" s="492" t="s">
        <v>221</v>
      </c>
      <c r="E25" s="30" t="s">
        <v>229</v>
      </c>
      <c r="F25" s="71">
        <v>1</v>
      </c>
      <c r="G25" s="72">
        <v>2</v>
      </c>
      <c r="H25" s="73">
        <v>3</v>
      </c>
      <c r="I25" s="74">
        <v>4</v>
      </c>
      <c r="J25" s="75">
        <v>5</v>
      </c>
      <c r="K25" s="76">
        <v>6</v>
      </c>
      <c r="L25" s="77">
        <v>7</v>
      </c>
      <c r="M25" s="78">
        <v>8</v>
      </c>
      <c r="N25" s="79">
        <v>9</v>
      </c>
      <c r="O25" s="80">
        <v>10</v>
      </c>
      <c r="P25" s="53"/>
      <c r="Q25" s="139"/>
      <c r="R25" s="334"/>
      <c r="S25" s="133">
        <f>VLOOKUP($E25,R.VL_DEQResourcesInvolved,2,FALSE)</f>
        <v>0</v>
      </c>
      <c r="T25" s="121">
        <f>VLOOKUP($E25,R.VL_DEQResourcesInvolved,3,FALSE)</f>
        <v>0</v>
      </c>
      <c r="U25" s="121">
        <f>IF(S25=10,T25,VLOOKUP($E25,R.VL_DEQResourcesInvolved,4,FALSE))</f>
        <v>0</v>
      </c>
      <c r="V25" s="575" t="s">
        <v>587</v>
      </c>
      <c r="W25" s="64"/>
      <c r="X25" s="64"/>
      <c r="Y25" s="64"/>
      <c r="Z25" s="64"/>
      <c r="AA25" s="64"/>
      <c r="AB25" s="64"/>
      <c r="AC25" s="64"/>
      <c r="AD25" s="130"/>
      <c r="AE25" s="130"/>
      <c r="AF25" s="130"/>
      <c r="AG25" s="130"/>
    </row>
    <row r="26" spans="1:33" s="28" customFormat="1" ht="14.25" customHeight="1">
      <c r="A26" s="344"/>
      <c r="B26" s="334"/>
      <c r="C26" s="389"/>
      <c r="D26" s="390"/>
      <c r="E26" s="378"/>
      <c r="F26" s="378"/>
      <c r="G26" s="378"/>
      <c r="H26" s="378"/>
      <c r="I26" s="378"/>
      <c r="J26" s="378"/>
      <c r="K26" s="378"/>
      <c r="L26" s="378"/>
      <c r="M26" s="378"/>
      <c r="N26" s="378"/>
      <c r="O26" s="378"/>
      <c r="P26" s="378"/>
      <c r="Q26" s="391"/>
      <c r="R26" s="334"/>
      <c r="S26"/>
      <c r="T26" s="134"/>
      <c r="U26" s="134"/>
      <c r="V26" s="64"/>
      <c r="W26" s="64"/>
      <c r="X26" s="64"/>
      <c r="Y26" s="64"/>
      <c r="Z26" s="64"/>
      <c r="AA26" s="64"/>
      <c r="AB26" s="64"/>
      <c r="AC26" s="64"/>
      <c r="AD26" s="130"/>
      <c r="AE26" s="130"/>
      <c r="AF26" s="130"/>
      <c r="AG26" s="130"/>
    </row>
    <row r="27" spans="1:33" s="219" customFormat="1" ht="30" customHeight="1">
      <c r="A27" s="350" t="s">
        <v>107</v>
      </c>
      <c r="B27" s="334"/>
      <c r="C27" s="243"/>
      <c r="D27" s="304" t="s">
        <v>218</v>
      </c>
      <c r="E27" s="247"/>
      <c r="F27" s="247"/>
      <c r="G27" s="247"/>
      <c r="H27" s="247"/>
      <c r="I27" s="247"/>
      <c r="J27" s="247"/>
      <c r="K27" s="247"/>
      <c r="L27" s="247"/>
      <c r="M27" s="247"/>
      <c r="N27" s="247"/>
      <c r="O27" s="247"/>
      <c r="P27" s="247"/>
      <c r="Q27" s="244"/>
      <c r="R27" s="334"/>
      <c r="S27"/>
      <c r="T27" s="217"/>
      <c r="U27" s="217"/>
      <c r="V27" s="218"/>
      <c r="W27" s="218"/>
      <c r="X27" s="218"/>
      <c r="Y27" s="218"/>
      <c r="Z27" s="218"/>
      <c r="AA27" s="218"/>
      <c r="AB27" s="218"/>
      <c r="AC27" s="218"/>
      <c r="AD27" s="216"/>
      <c r="AE27" s="216"/>
      <c r="AF27" s="216"/>
      <c r="AG27" s="216"/>
    </row>
    <row r="28" spans="1:33" s="33" customFormat="1" ht="14.25" customHeight="1">
      <c r="A28" s="344"/>
      <c r="B28" s="334"/>
      <c r="C28" s="136"/>
      <c r="D28" s="443" t="s">
        <v>64</v>
      </c>
      <c r="E28" s="94"/>
      <c r="F28" s="94"/>
      <c r="G28" s="94"/>
      <c r="H28" s="94"/>
      <c r="I28" s="94"/>
      <c r="J28" s="94"/>
      <c r="K28" s="94"/>
      <c r="L28" s="94"/>
      <c r="M28" s="94"/>
      <c r="N28" s="94"/>
      <c r="O28" s="94"/>
      <c r="P28" s="94"/>
      <c r="Q28" s="137"/>
      <c r="R28" s="334"/>
      <c r="S28"/>
      <c r="T28" s="131"/>
      <c r="U28" s="131"/>
      <c r="V28" s="129"/>
      <c r="W28" s="129"/>
      <c r="X28" s="129"/>
      <c r="Y28" s="129"/>
      <c r="Z28" s="129"/>
      <c r="AA28" s="129"/>
      <c r="AB28" s="129"/>
      <c r="AC28" s="129"/>
      <c r="AD28" s="127"/>
      <c r="AE28" s="127"/>
      <c r="AF28" s="127"/>
      <c r="AG28" s="127"/>
    </row>
    <row r="29" spans="1:33" s="28" customFormat="1" ht="149.25" customHeight="1">
      <c r="A29" s="344"/>
      <c r="B29" s="334"/>
      <c r="C29" s="138"/>
      <c r="D29" s="681" t="s">
        <v>100</v>
      </c>
      <c r="E29" s="682"/>
      <c r="F29" s="682"/>
      <c r="G29" s="682"/>
      <c r="H29" s="682"/>
      <c r="I29" s="682"/>
      <c r="J29" s="682"/>
      <c r="K29" s="682"/>
      <c r="L29" s="682"/>
      <c r="M29" s="682"/>
      <c r="N29" s="682"/>
      <c r="O29" s="682"/>
      <c r="P29" s="683"/>
      <c r="Q29" s="139"/>
      <c r="R29" s="334"/>
      <c r="S29"/>
      <c r="T29" s="131"/>
      <c r="U29" s="131"/>
      <c r="V29" s="64"/>
      <c r="W29" s="64"/>
      <c r="X29" s="64"/>
      <c r="Y29" s="64"/>
      <c r="Z29" s="64"/>
      <c r="AA29" s="64"/>
      <c r="AB29" s="64"/>
      <c r="AC29" s="64"/>
      <c r="AD29" s="130"/>
      <c r="AE29" s="130"/>
      <c r="AF29" s="130"/>
      <c r="AG29" s="130"/>
    </row>
    <row r="30" spans="1:33" s="33" customFormat="1" ht="14.25" customHeight="1">
      <c r="A30" s="344"/>
      <c r="B30" s="334"/>
      <c r="C30" s="232"/>
      <c r="D30" s="442" t="s">
        <v>60</v>
      </c>
      <c r="E30" s="292" t="s">
        <v>18</v>
      </c>
      <c r="F30" s="292" t="s">
        <v>19</v>
      </c>
      <c r="G30" s="292"/>
      <c r="H30" s="292"/>
      <c r="I30" s="292"/>
      <c r="J30" s="292"/>
      <c r="K30" s="292"/>
      <c r="L30" s="292"/>
      <c r="M30" s="292"/>
      <c r="N30" s="292"/>
      <c r="O30" s="292"/>
      <c r="P30" s="231" t="s">
        <v>0</v>
      </c>
      <c r="Q30" s="137"/>
      <c r="R30" s="334"/>
      <c r="S30"/>
      <c r="T30" s="229"/>
      <c r="U30" s="229"/>
      <c r="V30" s="230"/>
      <c r="W30" s="230"/>
      <c r="X30" s="230"/>
      <c r="Y30" s="230"/>
      <c r="Z30" s="230"/>
      <c r="AA30" s="230"/>
      <c r="AB30" s="230"/>
      <c r="AC30" s="230"/>
      <c r="AD30" s="127"/>
      <c r="AE30" s="127"/>
      <c r="AF30" s="127"/>
      <c r="AG30" s="127"/>
    </row>
    <row r="31" spans="1:33" s="28" customFormat="1">
      <c r="A31" s="344"/>
      <c r="B31" s="334"/>
      <c r="C31" s="138"/>
      <c r="D31" s="492" t="s">
        <v>222</v>
      </c>
      <c r="E31" s="30" t="s">
        <v>234</v>
      </c>
      <c r="F31" s="71">
        <v>1</v>
      </c>
      <c r="G31" s="72">
        <v>2</v>
      </c>
      <c r="H31" s="73">
        <v>3</v>
      </c>
      <c r="I31" s="74">
        <v>4</v>
      </c>
      <c r="J31" s="75">
        <v>5</v>
      </c>
      <c r="K31" s="76">
        <v>6</v>
      </c>
      <c r="L31" s="77">
        <v>7</v>
      </c>
      <c r="M31" s="78">
        <v>8</v>
      </c>
      <c r="N31" s="79">
        <v>9</v>
      </c>
      <c r="O31" s="80">
        <v>10</v>
      </c>
      <c r="P31" s="23"/>
      <c r="Q31" s="139"/>
      <c r="R31" s="334"/>
      <c r="S31" s="133">
        <f>VLOOKUP($E31,R.VL_DEQResourcesInvolved,2,FALSE)</f>
        <v>4</v>
      </c>
      <c r="T31" s="121">
        <f>VLOOKUP($E31,R.VL_DEQResourcesInvolved,3,FALSE)</f>
        <v>80</v>
      </c>
      <c r="U31" s="121">
        <f>IF(S31=10,T31,VLOOKUP($E31,R.VL_DEQResourcesInvolved,4,FALSE))</f>
        <v>170</v>
      </c>
      <c r="V31" s="575" t="s">
        <v>587</v>
      </c>
      <c r="W31" s="64"/>
      <c r="X31" s="64"/>
      <c r="Y31" s="64"/>
      <c r="Z31" s="64"/>
      <c r="AA31" s="64"/>
      <c r="AB31" s="64"/>
      <c r="AC31" s="64"/>
      <c r="AD31" s="130"/>
      <c r="AE31" s="130"/>
      <c r="AF31" s="130"/>
      <c r="AG31" s="130"/>
    </row>
    <row r="32" spans="1:33" s="28" customFormat="1" ht="14.25" customHeight="1">
      <c r="A32" s="344"/>
      <c r="B32" s="334"/>
      <c r="C32" s="138"/>
      <c r="D32" s="296"/>
      <c r="E32" s="687"/>
      <c r="F32" s="687"/>
      <c r="G32" s="687"/>
      <c r="H32" s="687"/>
      <c r="I32" s="687"/>
      <c r="J32" s="687"/>
      <c r="K32" s="687"/>
      <c r="L32" s="687"/>
      <c r="M32" s="687"/>
      <c r="N32" s="687"/>
      <c r="O32" s="687"/>
      <c r="P32" s="687"/>
      <c r="Q32" s="139"/>
      <c r="R32" s="334"/>
      <c r="S32"/>
      <c r="T32" s="131"/>
      <c r="U32" s="131"/>
      <c r="V32" s="64"/>
      <c r="W32" s="64"/>
      <c r="X32" s="64"/>
      <c r="Y32" s="64"/>
      <c r="Z32" s="64"/>
      <c r="AA32" s="64"/>
      <c r="AB32" s="64"/>
      <c r="AC32" s="64"/>
      <c r="AD32" s="130"/>
      <c r="AE32" s="130"/>
      <c r="AF32" s="130"/>
      <c r="AG32" s="130"/>
    </row>
    <row r="33" spans="1:33" s="33" customFormat="1" ht="30" customHeight="1">
      <c r="A33" s="343"/>
      <c r="B33" s="334"/>
      <c r="C33" s="380"/>
      <c r="D33" s="513" t="s">
        <v>219</v>
      </c>
      <c r="E33" s="382"/>
      <c r="F33" s="383"/>
      <c r="G33" s="383"/>
      <c r="H33" s="383"/>
      <c r="I33" s="383"/>
      <c r="J33" s="383"/>
      <c r="K33" s="383"/>
      <c r="L33" s="383"/>
      <c r="M33" s="383"/>
      <c r="N33" s="383"/>
      <c r="O33" s="383"/>
      <c r="P33" s="382"/>
      <c r="Q33" s="384"/>
      <c r="R33" s="334"/>
      <c r="S33"/>
      <c r="T33" s="131"/>
      <c r="U33" s="131"/>
      <c r="V33" s="129"/>
      <c r="W33" s="129"/>
      <c r="X33" s="129"/>
      <c r="Y33" s="129"/>
      <c r="Z33" s="129"/>
      <c r="AA33" s="129"/>
      <c r="AB33" s="129"/>
      <c r="AC33" s="129"/>
      <c r="AD33" s="127"/>
      <c r="AE33" s="127"/>
      <c r="AF33" s="127"/>
      <c r="AG33" s="127"/>
    </row>
    <row r="34" spans="1:33" s="33" customFormat="1" ht="14.25" customHeight="1">
      <c r="A34" s="344"/>
      <c r="B34" s="334"/>
      <c r="C34" s="136"/>
      <c r="D34" s="443" t="s">
        <v>64</v>
      </c>
      <c r="E34" s="94"/>
      <c r="F34" s="94"/>
      <c r="G34" s="94"/>
      <c r="H34" s="94"/>
      <c r="I34" s="94"/>
      <c r="J34" s="94"/>
      <c r="K34" s="94"/>
      <c r="L34" s="94"/>
      <c r="M34" s="94"/>
      <c r="N34" s="94"/>
      <c r="O34" s="94"/>
      <c r="P34" s="94"/>
      <c r="Q34" s="137"/>
      <c r="R34" s="334"/>
      <c r="S34"/>
      <c r="T34" s="131"/>
      <c r="U34" s="131"/>
      <c r="V34" s="129"/>
      <c r="W34" s="129"/>
      <c r="X34" s="129"/>
      <c r="Y34" s="129"/>
      <c r="Z34" s="129"/>
      <c r="AA34" s="129"/>
      <c r="AB34" s="129"/>
      <c r="AC34" s="129"/>
      <c r="AD34" s="127"/>
      <c r="AE34" s="127"/>
      <c r="AF34" s="127"/>
      <c r="AG34" s="127"/>
    </row>
    <row r="35" spans="1:33" s="28" customFormat="1" ht="75.75" customHeight="1">
      <c r="A35" s="344"/>
      <c r="B35" s="334"/>
      <c r="C35" s="138"/>
      <c r="D35" s="684" t="s">
        <v>101</v>
      </c>
      <c r="E35" s="685"/>
      <c r="F35" s="685"/>
      <c r="G35" s="685"/>
      <c r="H35" s="685"/>
      <c r="I35" s="685"/>
      <c r="J35" s="685"/>
      <c r="K35" s="685"/>
      <c r="L35" s="685"/>
      <c r="M35" s="685"/>
      <c r="N35" s="685"/>
      <c r="O35" s="685"/>
      <c r="P35" s="686"/>
      <c r="Q35" s="139"/>
      <c r="R35" s="334"/>
      <c r="S35"/>
      <c r="T35" s="131"/>
      <c r="U35" s="131"/>
      <c r="V35" s="64"/>
      <c r="W35" s="64"/>
      <c r="X35" s="64"/>
      <c r="Y35" s="64"/>
      <c r="Z35" s="64"/>
      <c r="AA35" s="64"/>
      <c r="AB35" s="64"/>
      <c r="AC35" s="64"/>
      <c r="AD35" s="130"/>
      <c r="AE35" s="130"/>
      <c r="AF35" s="130"/>
      <c r="AG35" s="130"/>
    </row>
    <row r="36" spans="1:33" s="33" customFormat="1" ht="14.25" customHeight="1">
      <c r="A36" s="344"/>
      <c r="B36" s="334"/>
      <c r="C36" s="232"/>
      <c r="D36" s="442" t="s">
        <v>60</v>
      </c>
      <c r="E36" s="292" t="s">
        <v>18</v>
      </c>
      <c r="F36" s="292" t="s">
        <v>19</v>
      </c>
      <c r="G36" s="292"/>
      <c r="H36" s="292"/>
      <c r="I36" s="292"/>
      <c r="J36" s="292"/>
      <c r="K36" s="292"/>
      <c r="L36" s="292"/>
      <c r="M36" s="292"/>
      <c r="N36" s="292"/>
      <c r="O36" s="292"/>
      <c r="P36" s="231" t="s">
        <v>0</v>
      </c>
      <c r="Q36" s="137"/>
      <c r="R36" s="334"/>
      <c r="S36"/>
      <c r="T36" s="229"/>
      <c r="U36" s="229"/>
      <c r="V36" s="230"/>
      <c r="W36" s="230"/>
      <c r="X36" s="230"/>
      <c r="Y36" s="230"/>
      <c r="Z36" s="230"/>
      <c r="AA36" s="230"/>
      <c r="AB36" s="230"/>
      <c r="AC36" s="230"/>
      <c r="AD36" s="127"/>
      <c r="AE36" s="127"/>
      <c r="AF36" s="127"/>
      <c r="AG36" s="127"/>
    </row>
    <row r="37" spans="1:33" s="28" customFormat="1" ht="15.75" customHeight="1">
      <c r="A37" s="344"/>
      <c r="B37" s="334"/>
      <c r="C37" s="138"/>
      <c r="D37" s="603" t="s">
        <v>601</v>
      </c>
      <c r="E37" s="30" t="s">
        <v>232</v>
      </c>
      <c r="F37" s="71">
        <v>1</v>
      </c>
      <c r="G37" s="72">
        <v>2</v>
      </c>
      <c r="H37" s="73">
        <v>3</v>
      </c>
      <c r="I37" s="74">
        <v>4</v>
      </c>
      <c r="J37" s="75">
        <v>5</v>
      </c>
      <c r="K37" s="76">
        <v>6</v>
      </c>
      <c r="L37" s="77">
        <v>7</v>
      </c>
      <c r="M37" s="78">
        <v>8</v>
      </c>
      <c r="N37" s="79">
        <v>9</v>
      </c>
      <c r="O37" s="80">
        <v>10</v>
      </c>
      <c r="P37" s="53"/>
      <c r="Q37" s="139"/>
      <c r="R37" s="334"/>
      <c r="S37" s="133">
        <f>VLOOKUP($E37,R.VL_DEQResourcesInvolved,2,FALSE)</f>
        <v>2</v>
      </c>
      <c r="T37" s="121">
        <f>VLOOKUP($E37,R.VL_DEQResourcesInvolved,3,FALSE)</f>
        <v>8</v>
      </c>
      <c r="U37" s="121">
        <f>IF(S37=10,T37,VLOOKUP($E37,R.VL_DEQResourcesInvolved,4,FALSE))</f>
        <v>40</v>
      </c>
      <c r="V37" s="575" t="s">
        <v>587</v>
      </c>
      <c r="W37" s="64"/>
      <c r="X37" s="64"/>
      <c r="Y37" s="64"/>
      <c r="Z37" s="64"/>
      <c r="AA37" s="64"/>
      <c r="AB37" s="64"/>
      <c r="AC37" s="64"/>
      <c r="AD37" s="130"/>
      <c r="AE37" s="130"/>
      <c r="AF37" s="130"/>
      <c r="AG37" s="130"/>
    </row>
    <row r="38" spans="1:33" s="28" customFormat="1" ht="14.25" customHeight="1">
      <c r="A38" s="344"/>
      <c r="B38" s="334"/>
      <c r="C38" s="376"/>
      <c r="D38" s="377"/>
      <c r="E38" s="378"/>
      <c r="F38" s="378"/>
      <c r="G38" s="378"/>
      <c r="H38" s="378"/>
      <c r="I38" s="378"/>
      <c r="J38" s="378"/>
      <c r="K38" s="378"/>
      <c r="L38" s="378"/>
      <c r="M38" s="378"/>
      <c r="N38" s="378"/>
      <c r="O38" s="378"/>
      <c r="P38" s="378"/>
      <c r="Q38" s="379"/>
      <c r="R38" s="334"/>
      <c r="S38"/>
      <c r="T38" s="134"/>
      <c r="U38" s="134"/>
      <c r="V38" s="64"/>
      <c r="W38" s="64"/>
      <c r="X38" s="64"/>
      <c r="Y38" s="64"/>
      <c r="Z38" s="64"/>
      <c r="AA38" s="64"/>
      <c r="AB38" s="64"/>
      <c r="AC38" s="64"/>
      <c r="AD38" s="130"/>
      <c r="AE38" s="130"/>
      <c r="AF38" s="130"/>
      <c r="AG38" s="130"/>
    </row>
    <row r="39" spans="1:33" s="33" customFormat="1" ht="30" customHeight="1">
      <c r="A39" s="343"/>
      <c r="B39" s="334"/>
      <c r="C39" s="136"/>
      <c r="D39" s="521" t="s">
        <v>602</v>
      </c>
      <c r="E39" s="94"/>
      <c r="F39" s="53"/>
      <c r="G39" s="53"/>
      <c r="H39" s="53"/>
      <c r="I39" s="53"/>
      <c r="J39" s="53"/>
      <c r="K39" s="53"/>
      <c r="L39" s="53"/>
      <c r="M39" s="53"/>
      <c r="N39" s="53"/>
      <c r="O39" s="53"/>
      <c r="P39" s="94"/>
      <c r="Q39" s="137"/>
      <c r="R39" s="334"/>
      <c r="S39"/>
      <c r="T39" s="131"/>
      <c r="U39" s="131"/>
      <c r="V39" s="129"/>
      <c r="W39" s="129"/>
      <c r="X39" s="129"/>
      <c r="Y39" s="129"/>
      <c r="Z39" s="129"/>
      <c r="AA39" s="129"/>
      <c r="AB39" s="129"/>
      <c r="AC39" s="129"/>
      <c r="AD39" s="127"/>
      <c r="AE39" s="127"/>
      <c r="AF39" s="127"/>
      <c r="AG39" s="127"/>
    </row>
    <row r="40" spans="1:33" s="33" customFormat="1" ht="14.25" customHeight="1">
      <c r="A40" s="344"/>
      <c r="B40" s="334"/>
      <c r="C40" s="136"/>
      <c r="D40" s="443" t="s">
        <v>64</v>
      </c>
      <c r="E40" s="94"/>
      <c r="F40" s="94"/>
      <c r="G40" s="94"/>
      <c r="H40" s="94"/>
      <c r="I40" s="94"/>
      <c r="J40" s="94"/>
      <c r="K40" s="94"/>
      <c r="L40" s="94"/>
      <c r="M40" s="94"/>
      <c r="N40" s="94"/>
      <c r="O40" s="94"/>
      <c r="P40" s="94"/>
      <c r="Q40" s="137"/>
      <c r="R40" s="334"/>
      <c r="S40"/>
      <c r="T40" s="131"/>
      <c r="U40" s="131"/>
      <c r="V40" s="129"/>
      <c r="W40" s="129"/>
      <c r="X40" s="129"/>
      <c r="Y40" s="129"/>
      <c r="Z40" s="129"/>
      <c r="AA40" s="129"/>
      <c r="AB40" s="129"/>
      <c r="AC40" s="129"/>
      <c r="AD40" s="127"/>
      <c r="AE40" s="127"/>
      <c r="AF40" s="127"/>
      <c r="AG40" s="127"/>
    </row>
    <row r="41" spans="1:33" s="28" customFormat="1" ht="15.75" customHeight="1">
      <c r="A41" s="344"/>
      <c r="B41" s="334"/>
      <c r="C41" s="138"/>
      <c r="D41" s="688" t="s">
        <v>0</v>
      </c>
      <c r="E41" s="689"/>
      <c r="F41" s="689"/>
      <c r="G41" s="689"/>
      <c r="H41" s="689"/>
      <c r="I41" s="689"/>
      <c r="J41" s="689"/>
      <c r="K41" s="689"/>
      <c r="L41" s="689"/>
      <c r="M41" s="689"/>
      <c r="N41" s="689"/>
      <c r="O41" s="689"/>
      <c r="P41" s="690"/>
      <c r="Q41" s="139"/>
      <c r="R41" s="334"/>
      <c r="S41"/>
      <c r="T41" s="131"/>
      <c r="U41" s="131"/>
      <c r="V41" s="64"/>
      <c r="W41" s="64"/>
      <c r="X41" s="64"/>
      <c r="Y41" s="64"/>
      <c r="Z41" s="64"/>
      <c r="AA41" s="64"/>
      <c r="AB41" s="64"/>
      <c r="AC41" s="64"/>
      <c r="AD41" s="130"/>
      <c r="AE41" s="130"/>
      <c r="AF41" s="130"/>
      <c r="AG41" s="130"/>
    </row>
    <row r="42" spans="1:33" s="33" customFormat="1" ht="14.25">
      <c r="A42" s="344"/>
      <c r="B42" s="334"/>
      <c r="C42" s="232"/>
      <c r="D42" s="442" t="s">
        <v>60</v>
      </c>
      <c r="E42" s="292" t="s">
        <v>18</v>
      </c>
      <c r="F42" s="292" t="s">
        <v>19</v>
      </c>
      <c r="G42" s="292"/>
      <c r="H42" s="292"/>
      <c r="I42" s="292"/>
      <c r="J42" s="292"/>
      <c r="K42" s="292"/>
      <c r="L42" s="292"/>
      <c r="M42" s="292"/>
      <c r="N42" s="292"/>
      <c r="O42" s="292"/>
      <c r="P42" s="231" t="s">
        <v>0</v>
      </c>
      <c r="Q42" s="137"/>
      <c r="R42" s="334"/>
      <c r="S42"/>
      <c r="T42" s="229"/>
      <c r="U42" s="229"/>
      <c r="V42" s="230"/>
      <c r="W42" s="230"/>
      <c r="X42" s="230"/>
      <c r="Y42" s="230"/>
      <c r="Z42" s="230"/>
      <c r="AA42" s="230"/>
      <c r="AB42" s="230"/>
      <c r="AC42" s="230"/>
      <c r="AD42" s="127"/>
      <c r="AE42" s="127"/>
      <c r="AF42" s="127"/>
      <c r="AG42" s="127"/>
    </row>
    <row r="43" spans="1:33" s="28" customFormat="1" ht="15.75" customHeight="1">
      <c r="A43" s="344"/>
      <c r="B43" s="334"/>
      <c r="C43" s="138"/>
      <c r="D43" s="603" t="s">
        <v>603</v>
      </c>
      <c r="E43" s="30" t="s">
        <v>234</v>
      </c>
      <c r="F43" s="71">
        <v>1</v>
      </c>
      <c r="G43" s="72">
        <v>2</v>
      </c>
      <c r="H43" s="73">
        <v>3</v>
      </c>
      <c r="I43" s="74">
        <v>4</v>
      </c>
      <c r="J43" s="75">
        <v>5</v>
      </c>
      <c r="K43" s="76">
        <v>6</v>
      </c>
      <c r="L43" s="77">
        <v>7</v>
      </c>
      <c r="M43" s="78">
        <v>8</v>
      </c>
      <c r="N43" s="79">
        <v>9</v>
      </c>
      <c r="O43" s="80">
        <v>10</v>
      </c>
      <c r="P43" s="53"/>
      <c r="Q43" s="139"/>
      <c r="R43" s="334"/>
      <c r="S43" s="133">
        <f>VLOOKUP($E43,R.VL_DEQResourcesInvolved,2,FALSE)</f>
        <v>4</v>
      </c>
      <c r="T43" s="121">
        <f>VLOOKUP($E43,R.VL_DEQResourcesInvolved,3,FALSE)</f>
        <v>80</v>
      </c>
      <c r="U43" s="121">
        <f>IF(S43=10,T43,VLOOKUP($E43,R.VL_DEQResourcesInvolved,4,FALSE))</f>
        <v>170</v>
      </c>
      <c r="V43" s="575" t="s">
        <v>587</v>
      </c>
      <c r="W43" s="64"/>
      <c r="X43" s="64"/>
      <c r="Y43" s="64"/>
      <c r="Z43" s="64"/>
      <c r="AA43" s="64"/>
      <c r="AB43" s="64"/>
      <c r="AC43" s="64"/>
      <c r="AD43" s="130"/>
      <c r="AE43" s="130"/>
      <c r="AF43" s="130"/>
      <c r="AG43" s="130"/>
    </row>
    <row r="44" spans="1:33" s="28" customFormat="1" ht="8.25" customHeight="1">
      <c r="A44" s="344"/>
      <c r="B44" s="334"/>
      <c r="C44" s="389"/>
      <c r="D44" s="378"/>
      <c r="E44" s="378"/>
      <c r="F44" s="378"/>
      <c r="G44" s="378"/>
      <c r="H44" s="378"/>
      <c r="I44" s="378"/>
      <c r="J44" s="378"/>
      <c r="K44" s="378"/>
      <c r="L44" s="378"/>
      <c r="M44" s="378"/>
      <c r="N44" s="378"/>
      <c r="O44" s="378"/>
      <c r="P44" s="378"/>
      <c r="Q44" s="391"/>
      <c r="R44" s="334"/>
      <c r="S44"/>
      <c r="T44" s="134"/>
      <c r="U44" s="134"/>
      <c r="V44" s="64"/>
      <c r="W44" s="64"/>
      <c r="X44" s="64"/>
      <c r="Y44" s="64"/>
      <c r="Z44" s="64"/>
      <c r="AA44" s="64"/>
      <c r="AB44" s="64"/>
      <c r="AC44" s="64"/>
      <c r="AD44" s="130"/>
      <c r="AE44" s="130"/>
      <c r="AF44" s="130"/>
      <c r="AG44" s="130"/>
    </row>
    <row r="45" spans="1:33" s="33" customFormat="1" ht="30" customHeight="1">
      <c r="A45" s="344"/>
      <c r="B45" s="334"/>
      <c r="C45" s="136"/>
      <c r="D45" s="521" t="s">
        <v>208</v>
      </c>
      <c r="E45" s="94"/>
      <c r="F45" s="53"/>
      <c r="G45" s="53"/>
      <c r="H45" s="53"/>
      <c r="I45" s="53"/>
      <c r="J45" s="53"/>
      <c r="K45" s="53"/>
      <c r="L45" s="53"/>
      <c r="M45" s="53"/>
      <c r="N45" s="53"/>
      <c r="O45" s="53"/>
      <c r="P45" s="94"/>
      <c r="Q45" s="137"/>
      <c r="R45" s="334"/>
      <c r="S45"/>
      <c r="T45" s="131"/>
      <c r="U45" s="131"/>
      <c r="V45" s="129"/>
      <c r="W45" s="129"/>
      <c r="X45" s="129"/>
      <c r="Y45" s="129"/>
      <c r="Z45" s="129"/>
      <c r="AA45" s="129"/>
      <c r="AB45" s="129"/>
      <c r="AC45" s="129"/>
      <c r="AD45" s="127"/>
      <c r="AE45" s="127"/>
      <c r="AF45" s="127"/>
      <c r="AG45" s="127"/>
    </row>
    <row r="46" spans="1:33" s="203" customFormat="1" ht="14.25" customHeight="1">
      <c r="A46" s="344"/>
      <c r="B46" s="334"/>
      <c r="C46" s="136"/>
      <c r="D46" s="443" t="s">
        <v>64</v>
      </c>
      <c r="E46" s="94"/>
      <c r="F46" s="94"/>
      <c r="G46" s="94"/>
      <c r="H46" s="94"/>
      <c r="I46" s="94"/>
      <c r="J46" s="94"/>
      <c r="K46" s="94"/>
      <c r="L46" s="94"/>
      <c r="M46" s="94"/>
      <c r="N46" s="94"/>
      <c r="O46" s="94"/>
      <c r="P46" s="94"/>
      <c r="Q46" s="137"/>
      <c r="R46" s="334"/>
      <c r="S46"/>
      <c r="T46" s="205"/>
      <c r="U46" s="205"/>
      <c r="V46" s="202"/>
      <c r="W46" s="202"/>
      <c r="X46" s="202"/>
      <c r="Y46" s="202"/>
      <c r="Z46" s="202"/>
      <c r="AA46" s="202"/>
      <c r="AB46" s="202"/>
      <c r="AC46" s="202"/>
      <c r="AD46" s="188"/>
      <c r="AE46" s="188"/>
      <c r="AF46" s="188"/>
      <c r="AG46" s="188"/>
    </row>
    <row r="47" spans="1:33" s="28" customFormat="1" ht="15.75" customHeight="1">
      <c r="A47" s="344"/>
      <c r="B47" s="334"/>
      <c r="C47" s="138"/>
      <c r="D47" s="691"/>
      <c r="E47" s="692"/>
      <c r="F47" s="692"/>
      <c r="G47" s="692"/>
      <c r="H47" s="692"/>
      <c r="I47" s="692"/>
      <c r="J47" s="692"/>
      <c r="K47" s="692"/>
      <c r="L47" s="692"/>
      <c r="M47" s="692"/>
      <c r="N47" s="692"/>
      <c r="O47" s="692"/>
      <c r="P47" s="693"/>
      <c r="Q47" s="139"/>
      <c r="R47" s="334"/>
      <c r="S47"/>
      <c r="T47" s="131"/>
      <c r="U47" s="131"/>
      <c r="V47" s="64"/>
      <c r="W47" s="64"/>
      <c r="X47" s="64"/>
      <c r="Y47" s="64"/>
      <c r="Z47" s="64"/>
      <c r="AA47" s="64"/>
      <c r="AB47" s="64"/>
      <c r="AC47" s="64"/>
      <c r="AD47" s="130"/>
      <c r="AE47" s="130"/>
      <c r="AF47" s="130"/>
      <c r="AG47" s="130"/>
    </row>
    <row r="48" spans="1:33" s="33" customFormat="1" ht="14.25" customHeight="1">
      <c r="A48" s="344"/>
      <c r="B48" s="334"/>
      <c r="C48" s="232"/>
      <c r="D48" s="442" t="s">
        <v>60</v>
      </c>
      <c r="E48" s="292" t="s">
        <v>18</v>
      </c>
      <c r="F48" s="292" t="s">
        <v>19</v>
      </c>
      <c r="G48" s="292"/>
      <c r="H48" s="292"/>
      <c r="I48" s="292"/>
      <c r="J48" s="292"/>
      <c r="K48" s="292"/>
      <c r="L48" s="292"/>
      <c r="M48" s="292"/>
      <c r="N48" s="292"/>
      <c r="O48" s="292"/>
      <c r="P48" s="231" t="s">
        <v>0</v>
      </c>
      <c r="Q48" s="137"/>
      <c r="R48" s="334"/>
      <c r="S48"/>
      <c r="T48" s="229"/>
      <c r="U48" s="229"/>
      <c r="V48" s="230"/>
      <c r="W48" s="230"/>
      <c r="X48" s="230"/>
      <c r="Y48" s="230"/>
      <c r="Z48" s="230"/>
      <c r="AA48" s="230"/>
      <c r="AB48" s="230"/>
      <c r="AC48" s="230"/>
      <c r="AD48" s="127"/>
      <c r="AE48" s="127"/>
      <c r="AF48" s="127"/>
      <c r="AG48" s="127"/>
    </row>
    <row r="49" spans="1:33" s="28" customFormat="1" ht="15.75" customHeight="1">
      <c r="A49" s="344"/>
      <c r="B49" s="334"/>
      <c r="C49" s="138"/>
      <c r="D49" s="448" t="s">
        <v>224</v>
      </c>
      <c r="E49" s="30" t="s">
        <v>229</v>
      </c>
      <c r="F49" s="71">
        <v>1</v>
      </c>
      <c r="G49" s="72">
        <v>2</v>
      </c>
      <c r="H49" s="73">
        <v>3</v>
      </c>
      <c r="I49" s="74">
        <v>4</v>
      </c>
      <c r="J49" s="75">
        <v>5</v>
      </c>
      <c r="K49" s="76">
        <v>6</v>
      </c>
      <c r="L49" s="77">
        <v>7</v>
      </c>
      <c r="M49" s="78">
        <v>8</v>
      </c>
      <c r="N49" s="79">
        <v>9</v>
      </c>
      <c r="O49" s="80">
        <v>10</v>
      </c>
      <c r="P49" s="53"/>
      <c r="Q49" s="139"/>
      <c r="R49" s="334"/>
      <c r="S49" s="135">
        <f>VLOOKUP($E49,R.VL_DEQResourcesInvolved,2,FALSE)</f>
        <v>0</v>
      </c>
      <c r="T49" s="121">
        <f>VLOOKUP($E49,R.VL_DEQResourcesInvolved,3,FALSE)</f>
        <v>0</v>
      </c>
      <c r="U49" s="121">
        <f>IF(S49=10,T49,VLOOKUP($E49,R.VL_DEQResourcesInvolved,4,FALSE))</f>
        <v>0</v>
      </c>
      <c r="V49" s="575" t="s">
        <v>587</v>
      </c>
      <c r="W49" s="64"/>
      <c r="X49" s="64"/>
      <c r="Y49" s="64"/>
      <c r="Z49" s="64"/>
      <c r="AA49" s="64"/>
      <c r="AB49" s="64"/>
      <c r="AC49" s="64"/>
      <c r="AD49" s="130"/>
      <c r="AE49" s="130"/>
      <c r="AF49" s="130"/>
      <c r="AG49" s="130"/>
    </row>
    <row r="50" spans="1:33" s="28" customFormat="1" ht="14.25" customHeight="1">
      <c r="A50" s="344"/>
      <c r="B50" s="334"/>
      <c r="C50" s="376"/>
      <c r="D50" s="377"/>
      <c r="E50" s="378"/>
      <c r="F50" s="378"/>
      <c r="G50" s="378"/>
      <c r="H50" s="378"/>
      <c r="I50" s="378"/>
      <c r="J50" s="378"/>
      <c r="K50" s="378"/>
      <c r="L50" s="378"/>
      <c r="M50" s="378"/>
      <c r="N50" s="378"/>
      <c r="O50" s="378"/>
      <c r="P50" s="378"/>
      <c r="Q50" s="379"/>
      <c r="R50" s="334"/>
      <c r="S50"/>
      <c r="T50" s="131"/>
      <c r="U50" s="131"/>
      <c r="V50" s="64"/>
      <c r="W50" s="64"/>
      <c r="X50" s="64"/>
      <c r="Y50" s="64"/>
      <c r="Z50" s="64"/>
      <c r="AA50" s="64"/>
      <c r="AB50" s="64"/>
      <c r="AC50" s="64"/>
      <c r="AD50" s="130"/>
      <c r="AE50" s="130"/>
      <c r="AF50" s="130"/>
      <c r="AG50" s="130"/>
    </row>
    <row r="51" spans="1:33" s="29" customFormat="1" ht="30" customHeight="1">
      <c r="A51" s="344"/>
      <c r="B51" s="334"/>
      <c r="C51" s="146"/>
      <c r="D51" s="644" t="str">
        <f>"Please suggest process improvements to the "&amp;D2&amp;" worksheet."</f>
        <v>Please suggest process improvements to the Core Team worksheet.</v>
      </c>
      <c r="E51" s="644"/>
      <c r="F51" s="500"/>
      <c r="G51" s="470"/>
      <c r="H51" s="471"/>
      <c r="I51" s="472"/>
      <c r="J51" s="473"/>
      <c r="K51" s="474"/>
      <c r="L51" s="475"/>
      <c r="M51" s="476"/>
      <c r="N51" s="477"/>
      <c r="O51" s="478"/>
      <c r="P51" s="39"/>
      <c r="Q51" s="147"/>
      <c r="R51" s="334"/>
      <c r="S51"/>
      <c r="T51" s="131"/>
      <c r="U51" s="131"/>
      <c r="V51" s="64"/>
      <c r="W51" s="64"/>
      <c r="X51" s="64"/>
      <c r="Y51" s="64"/>
      <c r="Z51" s="64"/>
      <c r="AA51" s="64"/>
      <c r="AB51" s="64"/>
      <c r="AC51" s="64"/>
      <c r="AD51" s="65"/>
      <c r="AE51" s="65"/>
      <c r="AF51" s="65"/>
      <c r="AG51" s="65"/>
    </row>
    <row r="52" spans="1:33" s="6" customFormat="1" ht="30.75" customHeight="1">
      <c r="A52" s="344"/>
      <c r="B52" s="334"/>
      <c r="C52" s="136"/>
      <c r="D52" s="641"/>
      <c r="E52" s="642"/>
      <c r="F52" s="642"/>
      <c r="G52" s="642"/>
      <c r="H52" s="642"/>
      <c r="I52" s="642"/>
      <c r="J52" s="642"/>
      <c r="K52" s="642"/>
      <c r="L52" s="642"/>
      <c r="M52" s="642"/>
      <c r="N52" s="642"/>
      <c r="O52" s="642"/>
      <c r="P52" s="643"/>
      <c r="Q52" s="148"/>
      <c r="R52" s="334"/>
      <c r="S52"/>
      <c r="T52" s="131"/>
      <c r="U52" s="131"/>
      <c r="V52" s="64"/>
      <c r="W52" s="64"/>
      <c r="X52" s="64"/>
      <c r="Y52" s="64"/>
      <c r="Z52" s="64"/>
      <c r="AA52" s="64"/>
      <c r="AB52" s="64"/>
      <c r="AC52" s="64"/>
      <c r="AD52" s="66"/>
      <c r="AE52" s="66"/>
      <c r="AF52" s="66"/>
      <c r="AG52" s="66"/>
    </row>
    <row r="53" spans="1:33" ht="18" customHeight="1">
      <c r="A53" s="350" t="s">
        <v>108</v>
      </c>
      <c r="B53" s="334"/>
      <c r="C53" s="149"/>
      <c r="D53" s="150"/>
      <c r="E53" s="150"/>
      <c r="F53" s="150"/>
      <c r="G53" s="150"/>
      <c r="H53" s="150"/>
      <c r="I53" s="150"/>
      <c r="J53" s="150"/>
      <c r="K53" s="150"/>
      <c r="L53" s="150"/>
      <c r="M53" s="150"/>
      <c r="N53" s="150"/>
      <c r="O53" s="150"/>
      <c r="P53" s="150"/>
      <c r="Q53" s="151"/>
      <c r="R53" s="334"/>
      <c r="S53"/>
    </row>
    <row r="54" spans="1:33" s="64" customFormat="1" ht="14.25" customHeight="1">
      <c r="A54" s="337"/>
      <c r="B54" s="334"/>
      <c r="C54" s="334"/>
      <c r="D54" s="334"/>
      <c r="E54" s="334"/>
      <c r="F54" s="334"/>
      <c r="G54" s="334"/>
      <c r="H54" s="334"/>
      <c r="I54" s="334"/>
      <c r="J54" s="334"/>
      <c r="K54" s="334"/>
      <c r="L54" s="334"/>
      <c r="M54" s="334"/>
      <c r="N54" s="334"/>
      <c r="O54" s="334"/>
      <c r="P54" s="334"/>
      <c r="Q54" s="334"/>
      <c r="R54" s="334"/>
      <c r="S54"/>
    </row>
    <row r="55" spans="1:33" s="64" customFormat="1" ht="60" customHeight="1">
      <c r="A55" s="337"/>
      <c r="C55" s="112"/>
      <c r="S55" s="113"/>
    </row>
    <row r="56" spans="1:33" s="64" customFormat="1" ht="60" customHeight="1">
      <c r="A56" s="337"/>
      <c r="C56" s="112"/>
      <c r="S56" s="113"/>
    </row>
    <row r="57" spans="1:33" s="64" customFormat="1" ht="60" customHeight="1">
      <c r="A57" s="337"/>
      <c r="C57" s="112"/>
      <c r="S57" s="113"/>
    </row>
    <row r="58" spans="1:33" s="64" customFormat="1" ht="60" customHeight="1">
      <c r="A58" s="337"/>
      <c r="C58" s="112"/>
      <c r="S58" s="113"/>
    </row>
    <row r="59" spans="1:33" s="64" customFormat="1" ht="60" customHeight="1">
      <c r="A59" s="337"/>
      <c r="C59" s="112"/>
      <c r="S59" s="113"/>
    </row>
    <row r="60" spans="1:33" s="64" customFormat="1" ht="60" customHeight="1">
      <c r="A60" s="337"/>
      <c r="C60" s="112"/>
      <c r="S60" s="113"/>
    </row>
    <row r="61" spans="1:33" s="64" customFormat="1" ht="60" customHeight="1">
      <c r="A61" s="337"/>
      <c r="C61" s="112"/>
      <c r="S61" s="113"/>
    </row>
    <row r="62" spans="1:33" s="64" customFormat="1" ht="60" customHeight="1">
      <c r="A62" s="337"/>
      <c r="C62" s="112"/>
      <c r="S62" s="113"/>
    </row>
    <row r="63" spans="1:33" s="64" customFormat="1" ht="60" customHeight="1">
      <c r="A63" s="337"/>
      <c r="C63" s="112"/>
      <c r="S63" s="113"/>
    </row>
    <row r="64" spans="1:33" s="64" customFormat="1" ht="60" customHeight="1">
      <c r="A64" s="337"/>
      <c r="C64" s="112"/>
      <c r="S64" s="113"/>
    </row>
    <row r="65" spans="1:19" s="64" customFormat="1" ht="60" customHeight="1">
      <c r="A65" s="337"/>
      <c r="C65" s="112"/>
      <c r="S65" s="113"/>
    </row>
    <row r="66" spans="1:19" s="64" customFormat="1" ht="60" customHeight="1">
      <c r="A66" s="337"/>
      <c r="C66" s="112"/>
      <c r="S66" s="113"/>
    </row>
    <row r="67" spans="1:19" s="64" customFormat="1" ht="60" customHeight="1">
      <c r="A67" s="337"/>
      <c r="C67" s="112"/>
      <c r="S67" s="113"/>
    </row>
    <row r="68" spans="1:19" s="64" customFormat="1" ht="60" customHeight="1">
      <c r="A68" s="337"/>
      <c r="C68" s="112"/>
      <c r="S68" s="113"/>
    </row>
    <row r="69" spans="1:19" s="64" customFormat="1" ht="60" customHeight="1">
      <c r="A69" s="337"/>
      <c r="C69" s="112"/>
      <c r="S69" s="113"/>
    </row>
    <row r="70" spans="1:19" s="64" customFormat="1" ht="60" customHeight="1">
      <c r="A70" s="337"/>
      <c r="C70" s="112"/>
      <c r="S70" s="113"/>
    </row>
    <row r="71" spans="1:19" s="64" customFormat="1" ht="60" customHeight="1">
      <c r="A71" s="337"/>
      <c r="C71" s="112"/>
      <c r="S71" s="113"/>
    </row>
    <row r="72" spans="1:19" s="64" customFormat="1" ht="60" customHeight="1">
      <c r="A72" s="337"/>
      <c r="C72" s="112"/>
      <c r="S72" s="113"/>
    </row>
    <row r="73" spans="1:19" s="64" customFormat="1" ht="60" customHeight="1">
      <c r="A73" s="337"/>
      <c r="C73" s="112"/>
      <c r="S73" s="113"/>
    </row>
    <row r="74" spans="1:19" s="64" customFormat="1" ht="60" customHeight="1">
      <c r="A74" s="337"/>
      <c r="C74" s="112"/>
      <c r="S74" s="113"/>
    </row>
    <row r="75" spans="1:19" s="64" customFormat="1" ht="60" customHeight="1">
      <c r="A75" s="337"/>
      <c r="C75" s="112"/>
      <c r="S75" s="113"/>
    </row>
    <row r="76" spans="1:19" s="64" customFormat="1" ht="60" customHeight="1">
      <c r="A76" s="337"/>
      <c r="C76" s="112"/>
      <c r="S76" s="113"/>
    </row>
    <row r="77" spans="1:19" s="64" customFormat="1" ht="60" customHeight="1">
      <c r="A77" s="337"/>
      <c r="C77" s="112"/>
      <c r="S77" s="113"/>
    </row>
    <row r="78" spans="1:19" s="64" customFormat="1" ht="60" customHeight="1">
      <c r="A78" s="337"/>
      <c r="C78" s="112"/>
      <c r="S78" s="113"/>
    </row>
    <row r="79" spans="1:19" s="64" customFormat="1" ht="60" customHeight="1">
      <c r="A79" s="337"/>
      <c r="C79" s="112"/>
      <c r="S79" s="113"/>
    </row>
    <row r="80" spans="1:19" s="64" customFormat="1" ht="60" customHeight="1">
      <c r="A80" s="337"/>
      <c r="C80" s="112"/>
      <c r="S80" s="113"/>
    </row>
    <row r="81" spans="1:19" s="64" customFormat="1" ht="60" customHeight="1">
      <c r="A81" s="337"/>
      <c r="C81" s="112"/>
      <c r="S81" s="113"/>
    </row>
    <row r="82" spans="1:19" s="64" customFormat="1" ht="60" customHeight="1">
      <c r="A82" s="337"/>
      <c r="C82" s="112"/>
      <c r="S82" s="113"/>
    </row>
    <row r="83" spans="1:19" s="64" customFormat="1" ht="60" customHeight="1">
      <c r="A83" s="337"/>
      <c r="C83" s="112"/>
      <c r="S83" s="113"/>
    </row>
    <row r="84" spans="1:19" s="64" customFormat="1">
      <c r="A84" s="337"/>
      <c r="C84" s="112"/>
      <c r="S84" s="113"/>
    </row>
    <row r="85" spans="1:19" s="64" customFormat="1">
      <c r="A85" s="337"/>
      <c r="C85" s="112"/>
      <c r="S85" s="113"/>
    </row>
  </sheetData>
  <sheetProtection sheet="1" scenarios="1" formatCells="0" formatRows="0" insertHyperlinks="0"/>
  <mergeCells count="18">
    <mergeCell ref="D7:P7"/>
    <mergeCell ref="F12:O12"/>
    <mergeCell ref="E2:P2"/>
    <mergeCell ref="M3:P3"/>
    <mergeCell ref="F4:L4"/>
    <mergeCell ref="M4:P4"/>
    <mergeCell ref="F5:L5"/>
    <mergeCell ref="M5:P5"/>
    <mergeCell ref="D11:P11"/>
    <mergeCell ref="D52:P52"/>
    <mergeCell ref="D17:P17"/>
    <mergeCell ref="D29:P29"/>
    <mergeCell ref="D35:P35"/>
    <mergeCell ref="D23:P23"/>
    <mergeCell ref="E32:P32"/>
    <mergeCell ref="D41:P41"/>
    <mergeCell ref="D47:P47"/>
    <mergeCell ref="D51:E51"/>
  </mergeCells>
  <conditionalFormatting sqref="F49:O49 F43:O43 F37:O37 F31:O31 F25:O25 F19:O19 F13:O13">
    <cfRule type="colorScale" priority="573">
      <colorScale>
        <cfvo type="num" val="0"/>
        <cfvo type="num" val="5"/>
        <cfvo type="num" val="10"/>
        <color rgb="FF00B050"/>
        <color rgb="FFFFFF00"/>
        <color rgb="FFFF0000"/>
      </colorScale>
    </cfRule>
  </conditionalFormatting>
  <conditionalFormatting sqref="N13 N19 N25 N31 N37 N43 N49">
    <cfRule type="expression" dxfId="2627" priority="572" stopIfTrue="1">
      <formula>IF($S13&lt;9,TRUE,)</formula>
    </cfRule>
  </conditionalFormatting>
  <conditionalFormatting sqref="M13 M19 M25 M31 M37 M43 M49">
    <cfRule type="expression" dxfId="2626" priority="571" stopIfTrue="1">
      <formula>IF($S13&lt;8,TRUE,)</formula>
    </cfRule>
  </conditionalFormatting>
  <conditionalFormatting sqref="L13 L19 L25 L31 L37 L43 L49">
    <cfRule type="expression" dxfId="2625" priority="570" stopIfTrue="1">
      <formula>IF($S13&lt;7,TRUE,)</formula>
    </cfRule>
  </conditionalFormatting>
  <conditionalFormatting sqref="K13 K19 K25 K31 K37 K43 K49">
    <cfRule type="expression" dxfId="2624" priority="569" stopIfTrue="1">
      <formula>IF($S13&lt;6,TRUE,)</formula>
    </cfRule>
  </conditionalFormatting>
  <conditionalFormatting sqref="J13 J19 J25 J31 J37 J43 J49">
    <cfRule type="expression" dxfId="2623" priority="568" stopIfTrue="1">
      <formula>IF($S13&lt;5,TRUE,)</formula>
    </cfRule>
  </conditionalFormatting>
  <conditionalFormatting sqref="I13 I19 I25 I31 I37 I43 I49">
    <cfRule type="expression" dxfId="2622" priority="567" stopIfTrue="1">
      <formula>IF($S13&lt;4,TRUE,)</formula>
    </cfRule>
  </conditionalFormatting>
  <conditionalFormatting sqref="H13 H19 H25 H31 H37 H43 H49">
    <cfRule type="expression" dxfId="2621" priority="566" stopIfTrue="1">
      <formula>IF($S13&lt;3,TRUE,)</formula>
    </cfRule>
  </conditionalFormatting>
  <conditionalFormatting sqref="G13 G19 G25 G31 G37 G43 G49">
    <cfRule type="expression" dxfId="2620" priority="565" stopIfTrue="1">
      <formula>IF($S13&lt;2,TRUE,)</formula>
    </cfRule>
  </conditionalFormatting>
  <conditionalFormatting sqref="F13 F19 F25 F31 F37 F43 F49">
    <cfRule type="expression" dxfId="2619" priority="12" stopIfTrue="1">
      <formula>IF($S13&lt;1,TRUE,)</formula>
    </cfRule>
  </conditionalFormatting>
  <conditionalFormatting sqref="O13 O19 O25 O31 O37 O43 O49">
    <cfRule type="expression" dxfId="2618" priority="11" stopIfTrue="1">
      <formula>IF($S13&lt;10,TRUE,)</formula>
    </cfRule>
  </conditionalFormatting>
  <dataValidations xWindow="979" yWindow="593" count="8">
    <dataValidation allowBlank="1" showInputMessage="1" showErrorMessage="1" promptTitle="PROCESS IMPROVEMENT" prompt="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_x000a_ " sqref="D52:P52"/>
    <dataValidation type="list" allowBlank="1" showInputMessage="1" showErrorMessage="1" sqref="P51">
      <formula1>R.DDL_DEQStaffRank</formula1>
    </dataValidation>
    <dataValidation type="list" allowBlank="1" showInputMessage="1" showErrorMessage="1" promptTitle="DROP DOWN LIST" prompt="Select a range of hours from the drop down list that best describes how involved this resource will be in DEVELOPING this project." sqref="E49 E37 E43 E31 E25 E19 E13">
      <formula1>R.DDL_DEQResourcesInvolved</formula1>
    </dataValidation>
    <dataValidation allowBlank="1" showInputMessage="1" showErrorMessage="1" promptTitle="ENTER ROLE" prompt="Enter the role that this person fulfills. Do not duplicate ROLES or staff listed in other areas of this workbook. " sqref="D47:P47 D41:P41"/>
    <dataValidation allowBlank="1" showInputMessage="1" showErrorMessage="1" promptTitle="ENTER NAME" prompt="Enter the name of the STAFF or FUNCTION involved with DEVELOPING the project._x000a_" sqref="D43 D37 D31 D25 D19 D13"/>
    <dataValidation type="textLength" allowBlank="1" showInputMessage="1" showErrorMessage="1" promptTitle="DESCRIBE INVOLVEMENT" prompt="_x000a_Describe how this resource would be involved with the proposal during the implementation of the rule." sqref="E32:P32 E14:P14">
      <formula1>0</formula1>
      <formula2>5000</formula2>
    </dataValidation>
    <dataValidation allowBlank="1" showErrorMessage="1" promptTitle="ENTER ROLE" prompt="Enter the role that this person fulfills. Do not duplicate ROLES or staff listed in other areas of this workbook. " sqref="D35:P35"/>
    <dataValidation allowBlank="1" showInputMessage="1" showErrorMessage="1" promptTitle="ENTER NAME" prompt="Enter the name of the STAFF or FUNCTION involved with DEVELOPING the project." sqref="D49"/>
  </dataValidations>
  <hyperlinks>
    <hyperlink ref="A1" location="R.0Header" display="⧀ Go to Content"/>
    <hyperlink ref="A21" r:id="rId1" display="⧀ on Q-net"/>
    <hyperlink ref="A27" r:id="rId2"/>
    <hyperlink ref="A53" location="R.3Header" display="Go to Top"/>
  </hyperlinks>
  <pageMargins left="0.25" right="0.25" top="0.43" bottom="0.42" header="0.3" footer="0.3"/>
  <pageSetup scale="98" orientation="portrait" horizontalDpi="4294967293" verticalDpi="4294967293" r:id="rId3"/>
  <rowBreaks count="1" manualBreakCount="1">
    <brk id="20" min="2" max="16" man="1"/>
  </rowBreaks>
  <drawing r:id="rId4"/>
  <legacyDrawing r:id="rId5"/>
</worksheet>
</file>

<file path=xl/worksheets/sheet7.xml><?xml version="1.0" encoding="utf-8"?>
<worksheet xmlns="http://schemas.openxmlformats.org/spreadsheetml/2006/main" xmlns:r="http://schemas.openxmlformats.org/officeDocument/2006/relationships">
  <sheetPr codeName="Sheet10"/>
  <dimension ref="A1:AG73"/>
  <sheetViews>
    <sheetView showGridLines="0" topLeftCell="A2" zoomScaleNormal="100" workbookViewId="0">
      <selection activeCell="E19" sqref="E19"/>
    </sheetView>
  </sheetViews>
  <sheetFormatPr defaultColWidth="9" defaultRowHeight="20.25" outlineLevelCol="1"/>
  <cols>
    <col min="1" max="1" width="13.75" style="337" customWidth="1"/>
    <col min="2" max="2" width="3.625" customWidth="1"/>
    <col min="3" max="3" width="3.625" style="44" customWidth="1"/>
    <col min="4" max="4" width="40.5" style="102" customWidth="1"/>
    <col min="5" max="5" width="15.75" style="102" customWidth="1"/>
    <col min="6" max="8" width="1.625" style="102" customWidth="1"/>
    <col min="9" max="11" width="1.625" style="434" customWidth="1"/>
    <col min="12" max="15" width="1.625" style="102" customWidth="1"/>
    <col min="16" max="16" width="11.5" style="102" customWidth="1"/>
    <col min="17" max="17" width="3.625" style="102" customWidth="1"/>
    <col min="18" max="18" width="3.625" style="64" customWidth="1"/>
    <col min="19" max="19" width="9" style="113" hidden="1" customWidth="1" outlineLevel="1"/>
    <col min="20" max="20" width="14.875" style="64" hidden="1" customWidth="1" outlineLevel="1"/>
    <col min="21" max="21" width="14.625" style="64" hidden="1" customWidth="1" outlineLevel="1"/>
    <col min="22" max="22" width="30.625" style="64" customWidth="1" collapsed="1"/>
    <col min="23" max="23" width="16.5" style="64" customWidth="1"/>
    <col min="24" max="24" width="18" style="64" customWidth="1"/>
    <col min="25" max="33" width="31.125" style="64" customWidth="1"/>
    <col min="34" max="16384" width="9" style="102"/>
  </cols>
  <sheetData>
    <row r="1" spans="1:33" s="64" customFormat="1" ht="20.25" customHeight="1">
      <c r="A1" s="350" t="s">
        <v>104</v>
      </c>
      <c r="B1" s="334"/>
      <c r="C1" s="334"/>
      <c r="D1" s="334"/>
      <c r="E1" s="334"/>
      <c r="F1" s="334"/>
      <c r="G1" s="334"/>
      <c r="H1" s="334"/>
      <c r="I1" s="334"/>
      <c r="J1" s="334"/>
      <c r="K1" s="334"/>
      <c r="L1" s="334"/>
      <c r="M1" s="334"/>
      <c r="N1" s="334"/>
      <c r="O1" s="334"/>
      <c r="P1" s="334"/>
      <c r="Q1" s="334"/>
      <c r="R1" s="334"/>
      <c r="S1" s="113"/>
    </row>
    <row r="2" spans="1:33" s="6" customFormat="1" ht="30" customHeight="1" thickBot="1">
      <c r="A2" s="350" t="s">
        <v>110</v>
      </c>
      <c r="B2" s="334"/>
      <c r="C2" s="332">
        <v>4</v>
      </c>
      <c r="D2" s="331" t="s">
        <v>9</v>
      </c>
      <c r="E2" s="713" t="str">
        <f>R.1MediaAndLongName</f>
        <v>CP Division 12 Updates</v>
      </c>
      <c r="F2" s="713"/>
      <c r="G2" s="713"/>
      <c r="H2" s="713"/>
      <c r="I2" s="713"/>
      <c r="J2" s="713"/>
      <c r="K2" s="713"/>
      <c r="L2" s="713"/>
      <c r="M2" s="713"/>
      <c r="N2" s="713"/>
      <c r="O2" s="713"/>
      <c r="P2" s="713"/>
      <c r="Q2" s="154"/>
      <c r="R2" s="334"/>
      <c r="S2" s="119" t="str">
        <f>"R."&amp;$C$2&amp;"StaffCount"</f>
        <v>R.4StaffCount</v>
      </c>
      <c r="T2" s="119" t="str">
        <f>"R."&amp;$C$2&amp;"LowHrs"</f>
        <v>R.4LowHrs</v>
      </c>
      <c r="U2" s="349" t="str">
        <f>"R."&amp;$C$2&amp;"HighHrs"</f>
        <v>R.4HighHrs</v>
      </c>
      <c r="V2" s="120" t="s">
        <v>0</v>
      </c>
      <c r="W2" s="64"/>
      <c r="X2" s="64"/>
      <c r="Y2" s="64"/>
      <c r="Z2" s="64"/>
      <c r="AA2" s="64"/>
      <c r="AB2" s="64"/>
      <c r="AC2" s="64"/>
      <c r="AD2" s="66"/>
      <c r="AE2" s="66"/>
      <c r="AF2" s="66"/>
      <c r="AG2" s="66"/>
    </row>
    <row r="3" spans="1:33" s="6" customFormat="1" ht="20.25" customHeight="1" thickTop="1">
      <c r="A3" s="344"/>
      <c r="B3" s="334"/>
      <c r="C3" s="155"/>
      <c r="D3" s="96"/>
      <c r="E3" s="96"/>
      <c r="F3" s="82"/>
      <c r="G3" s="164"/>
      <c r="H3" s="164"/>
      <c r="I3" s="368"/>
      <c r="J3" s="437"/>
      <c r="K3" s="13"/>
      <c r="L3" s="13"/>
      <c r="M3" s="699" t="s">
        <v>57</v>
      </c>
      <c r="N3" s="699"/>
      <c r="O3" s="699"/>
      <c r="P3" s="699"/>
      <c r="Q3" s="156"/>
      <c r="R3" s="334"/>
      <c r="S3" s="354">
        <f>COUNTIFS(S9:S37,"&gt;0")</f>
        <v>2</v>
      </c>
      <c r="T3" s="355">
        <f>SUM(T9:T37)</f>
        <v>9</v>
      </c>
      <c r="U3" s="355">
        <f>SUM(U9:U37)</f>
        <v>48</v>
      </c>
      <c r="V3" s="120"/>
      <c r="W3" s="64"/>
      <c r="X3" s="64"/>
      <c r="Y3" s="64"/>
      <c r="Z3" s="64"/>
      <c r="AA3" s="64"/>
      <c r="AB3" s="64"/>
      <c r="AC3" s="64"/>
      <c r="AD3" s="66"/>
      <c r="AE3" s="66"/>
      <c r="AF3" s="66"/>
      <c r="AG3" s="66"/>
    </row>
    <row r="4" spans="1:33" s="6" customFormat="1" ht="20.25" customHeight="1">
      <c r="A4" s="344"/>
      <c r="B4" s="334"/>
      <c r="C4" s="155"/>
      <c r="D4" s="494" t="s">
        <v>55</v>
      </c>
      <c r="E4" s="81">
        <f>S3</f>
        <v>2</v>
      </c>
      <c r="F4" s="700" t="s">
        <v>54</v>
      </c>
      <c r="G4" s="700"/>
      <c r="H4" s="700"/>
      <c r="I4" s="700"/>
      <c r="J4" s="700"/>
      <c r="K4" s="700"/>
      <c r="L4" s="700"/>
      <c r="M4" s="701" t="str">
        <f>S4</f>
        <v>9-48</v>
      </c>
      <c r="N4" s="701"/>
      <c r="O4" s="701"/>
      <c r="P4" s="701"/>
      <c r="Q4" s="156"/>
      <c r="R4" s="334"/>
      <c r="S4" s="122" t="str">
        <f>IF(R.4StaffCount=0,"0",IF(R.4LowHrs=0,"0-"&amp;TEXT(R.4HighHrs,"#,###"),TEXT(R.4LowHrs,"#,###")&amp;"-"&amp;TEXT(R.4HighHrs,"#,###")))</f>
        <v>9-48</v>
      </c>
      <c r="T4" s="119" t="str">
        <f>"R."&amp;$C$2&amp;"LowDollars"</f>
        <v>R.4LowDollars</v>
      </c>
      <c r="U4" s="349" t="str">
        <f>"R."&amp;$C$2&amp;"HighDollars"</f>
        <v>R.4HighDollars</v>
      </c>
      <c r="V4" s="120"/>
      <c r="W4" s="64"/>
      <c r="X4" s="64"/>
      <c r="Y4" s="64"/>
      <c r="Z4" s="64"/>
      <c r="AA4" s="64"/>
      <c r="AB4" s="64"/>
      <c r="AC4" s="64"/>
      <c r="AD4" s="66"/>
      <c r="AE4" s="66"/>
      <c r="AF4" s="66"/>
      <c r="AG4" s="66"/>
    </row>
    <row r="5" spans="1:33" s="6" customFormat="1" ht="20.25" customHeight="1">
      <c r="A5" s="344"/>
      <c r="B5" s="334"/>
      <c r="C5" s="155"/>
      <c r="D5" s="494" t="s">
        <v>56</v>
      </c>
      <c r="E5" s="98">
        <f>R.AvgHrDEQCost</f>
        <v>58</v>
      </c>
      <c r="F5" s="700" t="s">
        <v>58</v>
      </c>
      <c r="G5" s="700"/>
      <c r="H5" s="700"/>
      <c r="I5" s="700"/>
      <c r="J5" s="700"/>
      <c r="K5" s="700"/>
      <c r="L5" s="700"/>
      <c r="M5" s="702" t="str">
        <f>S5</f>
        <v>$522-2,784</v>
      </c>
      <c r="N5" s="702"/>
      <c r="O5" s="702"/>
      <c r="P5" s="702"/>
      <c r="Q5" s="156"/>
      <c r="R5" s="334"/>
      <c r="S5" s="123" t="str">
        <f>IF(R.4StaffCount=0,"$0",IF(R.4LowDollars=0,"$0-"&amp;TEXT(R.4HighDollars,"#,###"),TEXT(R.4LowDollars,"$#,###")&amp;"-"&amp;TEXT(R.4HighDollars,"#,###")))</f>
        <v>$522-2,784</v>
      </c>
      <c r="T5" s="124">
        <f>T3*E5</f>
        <v>522</v>
      </c>
      <c r="U5" s="124">
        <f>U3*E5</f>
        <v>2784</v>
      </c>
      <c r="V5" s="120"/>
      <c r="W5" s="64"/>
      <c r="X5" s="64"/>
      <c r="Y5" s="64"/>
      <c r="Z5" s="64"/>
      <c r="AA5" s="64"/>
      <c r="AB5" s="64"/>
      <c r="AC5" s="64"/>
      <c r="AD5" s="66"/>
      <c r="AE5" s="66"/>
      <c r="AF5" s="66"/>
      <c r="AG5" s="66"/>
    </row>
    <row r="6" spans="1:33" s="6" customFormat="1" ht="30" customHeight="1">
      <c r="A6" s="344"/>
      <c r="B6" s="334"/>
      <c r="C6" s="155"/>
      <c r="D6" s="501" t="s">
        <v>66</v>
      </c>
      <c r="E6" s="100"/>
      <c r="F6" s="99"/>
      <c r="G6" s="99"/>
      <c r="H6" s="99"/>
      <c r="I6" s="99"/>
      <c r="J6" s="99"/>
      <c r="K6" s="99"/>
      <c r="L6" s="99"/>
      <c r="M6" s="99"/>
      <c r="N6" s="99"/>
      <c r="O6" s="99"/>
      <c r="P6" s="99"/>
      <c r="Q6" s="156"/>
      <c r="R6" s="334"/>
      <c r="S6" s="452" t="s">
        <v>0</v>
      </c>
      <c r="T6" s="66"/>
      <c r="U6" s="66"/>
      <c r="V6" s="120"/>
      <c r="W6" s="64"/>
      <c r="X6" s="64"/>
      <c r="Y6" s="64"/>
      <c r="Z6" s="64"/>
      <c r="AA6" s="64"/>
      <c r="AB6" s="64"/>
      <c r="AC6" s="64"/>
      <c r="AD6" s="66"/>
      <c r="AE6" s="66"/>
      <c r="AF6" s="66"/>
      <c r="AG6" s="66"/>
    </row>
    <row r="7" spans="1:33" s="69" customFormat="1" ht="15.75" customHeight="1">
      <c r="A7" s="345"/>
      <c r="B7" s="334"/>
      <c r="C7" s="157"/>
      <c r="D7" s="694"/>
      <c r="E7" s="695"/>
      <c r="F7" s="695"/>
      <c r="G7" s="695"/>
      <c r="H7" s="695"/>
      <c r="I7" s="695"/>
      <c r="J7" s="695"/>
      <c r="K7" s="695"/>
      <c r="L7" s="695"/>
      <c r="M7" s="695"/>
      <c r="N7" s="695"/>
      <c r="O7" s="695"/>
      <c r="P7" s="696"/>
      <c r="Q7" s="158"/>
      <c r="R7" s="334"/>
      <c r="S7" s="712" t="s">
        <v>0</v>
      </c>
      <c r="T7" s="712"/>
      <c r="U7" s="712"/>
      <c r="V7" s="126"/>
      <c r="W7" s="126" t="s">
        <v>0</v>
      </c>
      <c r="X7" s="126"/>
      <c r="Y7" s="126"/>
      <c r="Z7" s="126"/>
      <c r="AA7" s="126"/>
      <c r="AB7" s="126"/>
      <c r="AC7" s="126"/>
      <c r="AD7" s="125"/>
      <c r="AE7" s="125"/>
      <c r="AF7" s="125"/>
      <c r="AG7" s="125"/>
    </row>
    <row r="8" spans="1:33" s="69" customFormat="1" ht="14.25">
      <c r="A8" s="345"/>
      <c r="B8" s="334"/>
      <c r="C8" s="404"/>
      <c r="D8" s="405"/>
      <c r="E8" s="405"/>
      <c r="F8" s="405"/>
      <c r="G8" s="405"/>
      <c r="H8" s="405"/>
      <c r="I8" s="405"/>
      <c r="J8" s="405"/>
      <c r="K8" s="405"/>
      <c r="L8" s="405"/>
      <c r="M8" s="405"/>
      <c r="N8" s="405"/>
      <c r="O8" s="405"/>
      <c r="P8" s="405"/>
      <c r="Q8" s="406"/>
      <c r="R8" s="334"/>
      <c r="S8" s="125"/>
      <c r="T8" s="125"/>
      <c r="U8" s="125"/>
      <c r="V8" s="126"/>
      <c r="W8" s="126"/>
      <c r="X8" s="126"/>
      <c r="Y8" s="126"/>
      <c r="Z8" s="126"/>
      <c r="AA8" s="126"/>
      <c r="AB8" s="126"/>
      <c r="AC8" s="126"/>
      <c r="AD8" s="125"/>
      <c r="AE8" s="125"/>
      <c r="AF8" s="125"/>
      <c r="AG8" s="125"/>
    </row>
    <row r="9" spans="1:33" s="33" customFormat="1" ht="30" customHeight="1">
      <c r="A9" s="350" t="s">
        <v>111</v>
      </c>
      <c r="B9" s="334"/>
      <c r="C9" s="407"/>
      <c r="D9" s="408" t="s">
        <v>209</v>
      </c>
      <c r="E9" s="409"/>
      <c r="F9" s="111"/>
      <c r="G9" s="111"/>
      <c r="H9" s="111"/>
      <c r="I9" s="435"/>
      <c r="J9" s="435"/>
      <c r="K9" s="435"/>
      <c r="L9" s="111"/>
      <c r="M9" s="111"/>
      <c r="N9" s="111"/>
      <c r="O9" s="111"/>
      <c r="P9" s="116"/>
      <c r="Q9" s="427"/>
      <c r="R9" s="334"/>
      <c r="S9" s="134"/>
      <c r="T9" s="131"/>
      <c r="U9" s="131"/>
      <c r="V9" s="129"/>
      <c r="W9" s="129"/>
      <c r="X9" s="129"/>
      <c r="Y9" s="129"/>
      <c r="Z9" s="129"/>
      <c r="AA9" s="129"/>
      <c r="AB9" s="129"/>
      <c r="AC9" s="129"/>
      <c r="AD9" s="127"/>
      <c r="AE9" s="127"/>
      <c r="AF9" s="127"/>
      <c r="AG9" s="127"/>
    </row>
    <row r="10" spans="1:33" s="33" customFormat="1">
      <c r="A10" s="344"/>
      <c r="B10" s="334"/>
      <c r="C10" s="407"/>
      <c r="D10" s="502" t="s">
        <v>64</v>
      </c>
      <c r="E10" s="116"/>
      <c r="F10" s="116"/>
      <c r="G10" s="116"/>
      <c r="H10" s="116"/>
      <c r="I10" s="94"/>
      <c r="J10" s="94"/>
      <c r="K10" s="94"/>
      <c r="L10" s="116"/>
      <c r="M10" s="116"/>
      <c r="N10" s="116"/>
      <c r="O10" s="116"/>
      <c r="P10" s="116"/>
      <c r="Q10" s="427"/>
      <c r="R10" s="334"/>
      <c r="S10" s="134"/>
      <c r="T10" s="131"/>
      <c r="U10" s="131"/>
      <c r="V10" s="129"/>
      <c r="W10" s="129"/>
      <c r="X10" s="129"/>
      <c r="Y10" s="129"/>
      <c r="Z10" s="129"/>
      <c r="AA10" s="129"/>
      <c r="AB10" s="129"/>
      <c r="AC10" s="129"/>
      <c r="AD10" s="127"/>
      <c r="AE10" s="127"/>
      <c r="AF10" s="127"/>
      <c r="AG10" s="127"/>
    </row>
    <row r="11" spans="1:33" s="28" customFormat="1" ht="33.75" customHeight="1">
      <c r="A11" s="345"/>
      <c r="B11" s="334"/>
      <c r="C11" s="410"/>
      <c r="D11" s="706" t="s">
        <v>69</v>
      </c>
      <c r="E11" s="707"/>
      <c r="F11" s="707"/>
      <c r="G11" s="707"/>
      <c r="H11" s="707"/>
      <c r="I11" s="707"/>
      <c r="J11" s="707"/>
      <c r="K11" s="707"/>
      <c r="L11" s="707"/>
      <c r="M11" s="707"/>
      <c r="N11" s="707"/>
      <c r="O11" s="707"/>
      <c r="P11" s="708"/>
      <c r="Q11" s="428"/>
      <c r="R11" s="334"/>
      <c r="S11" s="132" t="s">
        <v>0</v>
      </c>
      <c r="T11" s="131"/>
      <c r="U11" s="131"/>
      <c r="V11" s="64"/>
      <c r="W11" s="64"/>
      <c r="X11" s="64"/>
      <c r="Y11" s="64"/>
      <c r="Z11" s="64"/>
      <c r="AA11" s="64"/>
      <c r="AB11" s="64"/>
      <c r="AC11" s="64"/>
      <c r="AD11" s="130"/>
      <c r="AE11" s="130"/>
      <c r="AF11" s="130"/>
      <c r="AG11" s="130"/>
    </row>
    <row r="12" spans="1:33" s="33" customFormat="1" ht="14.25">
      <c r="A12" s="344"/>
      <c r="B12" s="334"/>
      <c r="C12" s="411"/>
      <c r="D12" s="503" t="s">
        <v>60</v>
      </c>
      <c r="E12" s="412" t="s">
        <v>18</v>
      </c>
      <c r="F12" s="412" t="s">
        <v>19</v>
      </c>
      <c r="G12" s="412"/>
      <c r="H12" s="412"/>
      <c r="I12" s="292"/>
      <c r="J12" s="292"/>
      <c r="K12" s="292"/>
      <c r="L12" s="412"/>
      <c r="M12" s="412"/>
      <c r="N12" s="412"/>
      <c r="O12" s="412"/>
      <c r="P12" s="413" t="s">
        <v>0</v>
      </c>
      <c r="Q12" s="427"/>
      <c r="R12" s="334"/>
      <c r="S12" s="228"/>
      <c r="T12" s="229"/>
      <c r="U12" s="229"/>
      <c r="V12" s="230"/>
      <c r="W12" s="230"/>
      <c r="X12" s="230"/>
      <c r="Y12" s="230"/>
      <c r="Z12" s="230"/>
      <c r="AA12" s="230"/>
      <c r="AB12" s="230"/>
      <c r="AC12" s="230"/>
      <c r="AD12" s="127"/>
      <c r="AE12" s="127"/>
      <c r="AF12" s="127"/>
      <c r="AG12" s="127"/>
    </row>
    <row r="13" spans="1:33" s="28" customFormat="1">
      <c r="A13" s="345"/>
      <c r="B13" s="334"/>
      <c r="C13" s="410"/>
      <c r="D13" s="414" t="s">
        <v>225</v>
      </c>
      <c r="E13" s="415" t="s">
        <v>231</v>
      </c>
      <c r="F13" s="416">
        <v>1</v>
      </c>
      <c r="G13" s="417">
        <v>2</v>
      </c>
      <c r="H13" s="418">
        <v>3</v>
      </c>
      <c r="I13" s="74">
        <v>4</v>
      </c>
      <c r="J13" s="75">
        <v>5</v>
      </c>
      <c r="K13" s="76">
        <v>6</v>
      </c>
      <c r="L13" s="419">
        <v>7</v>
      </c>
      <c r="M13" s="420">
        <v>8</v>
      </c>
      <c r="N13" s="421">
        <v>9</v>
      </c>
      <c r="O13" s="422">
        <v>10</v>
      </c>
      <c r="P13" s="111"/>
      <c r="Q13" s="428"/>
      <c r="R13" s="334"/>
      <c r="S13" s="133">
        <f>VLOOKUP($E13,R.VL_DEQResourcesInvolved,2,FALSE)</f>
        <v>1</v>
      </c>
      <c r="T13" s="121">
        <f>VLOOKUP($E13,R.VL_DEQResourcesInvolved,3,FALSE)</f>
        <v>1</v>
      </c>
      <c r="U13" s="121">
        <f>IF(S13=10,T13,VLOOKUP($E13,R.VL_DEQResourcesInvolved,4,FALSE))</f>
        <v>8</v>
      </c>
      <c r="V13" s="575" t="s">
        <v>587</v>
      </c>
      <c r="W13" s="64"/>
      <c r="X13" s="64"/>
      <c r="Y13" s="64"/>
      <c r="Z13" s="64"/>
      <c r="AA13" s="64"/>
      <c r="AB13" s="64"/>
      <c r="AC13" s="64"/>
      <c r="AD13" s="130"/>
      <c r="AE13" s="130"/>
      <c r="AF13" s="130"/>
      <c r="AG13" s="130"/>
    </row>
    <row r="14" spans="1:33" s="28" customFormat="1">
      <c r="A14" s="345"/>
      <c r="B14" s="334"/>
      <c r="C14" s="423"/>
      <c r="D14" s="424"/>
      <c r="E14" s="425"/>
      <c r="F14" s="425"/>
      <c r="G14" s="425"/>
      <c r="H14" s="425"/>
      <c r="I14" s="378"/>
      <c r="J14" s="378"/>
      <c r="K14" s="378"/>
      <c r="L14" s="425"/>
      <c r="M14" s="425"/>
      <c r="N14" s="425"/>
      <c r="O14" s="425"/>
      <c r="P14" s="425"/>
      <c r="Q14" s="426"/>
      <c r="R14" s="334"/>
      <c r="S14" s="132"/>
      <c r="T14" s="131"/>
      <c r="U14" s="131"/>
      <c r="V14" s="64"/>
      <c r="W14" s="64"/>
      <c r="X14" s="64"/>
      <c r="Y14" s="64"/>
      <c r="Z14" s="64"/>
      <c r="AA14" s="64"/>
      <c r="AB14" s="64"/>
      <c r="AC14" s="64"/>
      <c r="AD14" s="130"/>
      <c r="AE14" s="130"/>
      <c r="AF14" s="130"/>
      <c r="AG14" s="130"/>
    </row>
    <row r="15" spans="1:33" s="33" customFormat="1" ht="30.75" customHeight="1">
      <c r="A15" s="350" t="s">
        <v>151</v>
      </c>
      <c r="B15" s="334"/>
      <c r="C15" s="407"/>
      <c r="D15" s="408" t="s">
        <v>122</v>
      </c>
      <c r="E15" s="116"/>
      <c r="F15" s="116"/>
      <c r="G15" s="116"/>
      <c r="H15" s="116"/>
      <c r="I15" s="94"/>
      <c r="J15" s="94"/>
      <c r="K15" s="94"/>
      <c r="L15" s="116"/>
      <c r="M15" s="116"/>
      <c r="N15" s="116"/>
      <c r="O15" s="116"/>
      <c r="P15" s="116"/>
      <c r="Q15" s="427"/>
      <c r="R15" s="334"/>
      <c r="S15" s="134"/>
      <c r="T15" s="131"/>
      <c r="U15" s="131"/>
      <c r="V15" s="129"/>
      <c r="W15" s="129"/>
      <c r="X15" s="129"/>
      <c r="Y15" s="129"/>
      <c r="Z15" s="129"/>
      <c r="AA15" s="129"/>
      <c r="AB15" s="129"/>
      <c r="AC15" s="129"/>
      <c r="AD15" s="127"/>
      <c r="AE15" s="127"/>
      <c r="AF15" s="127"/>
      <c r="AG15" s="127"/>
    </row>
    <row r="16" spans="1:33" s="33" customFormat="1">
      <c r="A16" s="344"/>
      <c r="B16" s="334"/>
      <c r="C16" s="407"/>
      <c r="D16" s="502" t="s">
        <v>64</v>
      </c>
      <c r="E16" s="116"/>
      <c r="F16" s="116"/>
      <c r="G16" s="116"/>
      <c r="H16" s="116"/>
      <c r="I16" s="94"/>
      <c r="J16" s="94"/>
      <c r="K16" s="94"/>
      <c r="L16" s="116"/>
      <c r="M16" s="116"/>
      <c r="N16" s="116"/>
      <c r="O16" s="116"/>
      <c r="P16" s="116"/>
      <c r="Q16" s="427"/>
      <c r="R16" s="334"/>
      <c r="S16" s="134"/>
      <c r="T16" s="131"/>
      <c r="U16" s="131"/>
      <c r="V16" s="129"/>
      <c r="W16" s="129"/>
      <c r="X16" s="129"/>
      <c r="Y16" s="129"/>
      <c r="Z16" s="129"/>
      <c r="AA16" s="129"/>
      <c r="AB16" s="129"/>
      <c r="AC16" s="129"/>
      <c r="AD16" s="127"/>
      <c r="AE16" s="127"/>
      <c r="AF16" s="127"/>
      <c r="AG16" s="127"/>
    </row>
    <row r="17" spans="1:33" s="28" customFormat="1" ht="45" customHeight="1">
      <c r="A17" s="345"/>
      <c r="B17" s="334"/>
      <c r="C17" s="410"/>
      <c r="D17" s="709" t="s">
        <v>180</v>
      </c>
      <c r="E17" s="710"/>
      <c r="F17" s="710"/>
      <c r="G17" s="710"/>
      <c r="H17" s="710"/>
      <c r="I17" s="710"/>
      <c r="J17" s="710"/>
      <c r="K17" s="710"/>
      <c r="L17" s="710"/>
      <c r="M17" s="710"/>
      <c r="N17" s="710"/>
      <c r="O17" s="710"/>
      <c r="P17" s="711"/>
      <c r="Q17" s="428"/>
      <c r="R17" s="334"/>
      <c r="S17" s="132" t="s">
        <v>0</v>
      </c>
      <c r="T17" s="131"/>
      <c r="U17" s="131"/>
      <c r="V17" s="64"/>
      <c r="W17" s="64"/>
      <c r="X17" s="64"/>
      <c r="Y17" s="64"/>
      <c r="Z17" s="64"/>
      <c r="AA17" s="64"/>
      <c r="AB17" s="64"/>
      <c r="AC17" s="64"/>
      <c r="AD17" s="130"/>
      <c r="AE17" s="130"/>
      <c r="AF17" s="130"/>
      <c r="AG17" s="130"/>
    </row>
    <row r="18" spans="1:33" s="33" customFormat="1" ht="14.25">
      <c r="A18" s="344"/>
      <c r="B18" s="334"/>
      <c r="C18" s="411"/>
      <c r="D18" s="503" t="s">
        <v>60</v>
      </c>
      <c r="E18" s="412" t="s">
        <v>18</v>
      </c>
      <c r="F18" s="412" t="s">
        <v>19</v>
      </c>
      <c r="G18" s="412"/>
      <c r="H18" s="412"/>
      <c r="I18" s="292"/>
      <c r="J18" s="292"/>
      <c r="K18" s="292"/>
      <c r="L18" s="412"/>
      <c r="M18" s="412"/>
      <c r="N18" s="412"/>
      <c r="O18" s="412"/>
      <c r="P18" s="413" t="s">
        <v>0</v>
      </c>
      <c r="Q18" s="427"/>
      <c r="R18" s="334"/>
      <c r="S18" s="228"/>
      <c r="T18" s="229"/>
      <c r="U18" s="229"/>
      <c r="V18" s="230"/>
      <c r="W18" s="230"/>
      <c r="X18" s="230"/>
      <c r="Y18" s="230"/>
      <c r="Z18" s="230"/>
      <c r="AA18" s="230"/>
      <c r="AB18" s="230"/>
      <c r="AC18" s="230"/>
      <c r="AD18" s="127"/>
      <c r="AE18" s="127"/>
      <c r="AF18" s="127"/>
      <c r="AG18" s="127"/>
    </row>
    <row r="19" spans="1:33" s="28" customFormat="1">
      <c r="A19" s="345"/>
      <c r="B19" s="334"/>
      <c r="C19" s="410"/>
      <c r="D19" s="414" t="s">
        <v>1</v>
      </c>
      <c r="E19" s="415" t="s">
        <v>232</v>
      </c>
      <c r="F19" s="416">
        <v>1</v>
      </c>
      <c r="G19" s="417">
        <v>2</v>
      </c>
      <c r="H19" s="418">
        <v>3</v>
      </c>
      <c r="I19" s="74">
        <v>4</v>
      </c>
      <c r="J19" s="75">
        <v>5</v>
      </c>
      <c r="K19" s="76">
        <v>6</v>
      </c>
      <c r="L19" s="419">
        <v>7</v>
      </c>
      <c r="M19" s="420">
        <v>8</v>
      </c>
      <c r="N19" s="421">
        <v>9</v>
      </c>
      <c r="O19" s="422">
        <v>10</v>
      </c>
      <c r="P19" s="111"/>
      <c r="Q19" s="428"/>
      <c r="R19" s="334"/>
      <c r="S19" s="133">
        <f>VLOOKUP($E19,R.VL_DEQResourcesInvolved,2,FALSE)</f>
        <v>2</v>
      </c>
      <c r="T19" s="121">
        <f>VLOOKUP($E19,R.VL_DEQResourcesInvolved,3,FALSE)</f>
        <v>8</v>
      </c>
      <c r="U19" s="121">
        <f>IF(S19=10,T19,VLOOKUP($E19,R.VL_DEQResourcesInvolved,4,FALSE))</f>
        <v>40</v>
      </c>
      <c r="V19" s="575" t="s">
        <v>587</v>
      </c>
      <c r="W19" s="64"/>
      <c r="X19" s="64"/>
      <c r="Y19" s="64"/>
      <c r="Z19" s="64"/>
      <c r="AA19" s="64"/>
      <c r="AB19" s="64"/>
      <c r="AC19" s="64"/>
      <c r="AD19" s="130"/>
      <c r="AE19" s="130"/>
      <c r="AF19" s="130"/>
      <c r="AG19" s="130"/>
    </row>
    <row r="20" spans="1:33" s="28" customFormat="1" ht="15.75" customHeight="1">
      <c r="A20" s="345"/>
      <c r="B20" s="334"/>
      <c r="C20" s="429"/>
      <c r="D20" s="430"/>
      <c r="E20" s="425"/>
      <c r="F20" s="425"/>
      <c r="G20" s="425"/>
      <c r="H20" s="425"/>
      <c r="I20" s="378"/>
      <c r="J20" s="378"/>
      <c r="K20" s="378"/>
      <c r="L20" s="425"/>
      <c r="M20" s="425"/>
      <c r="N20" s="425"/>
      <c r="O20" s="425"/>
      <c r="P20" s="425"/>
      <c r="Q20" s="431"/>
      <c r="R20" s="334"/>
      <c r="S20" s="132"/>
      <c r="T20" s="134"/>
      <c r="U20" s="134"/>
      <c r="V20" s="64"/>
      <c r="W20" s="64"/>
      <c r="X20" s="64"/>
      <c r="Y20" s="64"/>
      <c r="Z20" s="64"/>
      <c r="AA20" s="64"/>
      <c r="AB20" s="64"/>
      <c r="AC20" s="64"/>
      <c r="AD20" s="130"/>
      <c r="AE20" s="130"/>
      <c r="AF20" s="130"/>
      <c r="AG20" s="130"/>
    </row>
    <row r="21" spans="1:33" s="33" customFormat="1" ht="30" customHeight="1">
      <c r="A21" s="350" t="s">
        <v>107</v>
      </c>
      <c r="B21" s="334"/>
      <c r="C21" s="407"/>
      <c r="D21" s="408" t="s">
        <v>123</v>
      </c>
      <c r="E21" s="409"/>
      <c r="F21" s="111"/>
      <c r="G21" s="111"/>
      <c r="H21" s="111"/>
      <c r="I21" s="435"/>
      <c r="J21" s="435"/>
      <c r="K21" s="435"/>
      <c r="L21" s="111"/>
      <c r="M21" s="111"/>
      <c r="N21" s="111"/>
      <c r="O21" s="111"/>
      <c r="P21" s="116"/>
      <c r="Q21" s="427"/>
      <c r="R21" s="334"/>
      <c r="S21" s="134"/>
      <c r="T21" s="131"/>
      <c r="U21" s="131"/>
      <c r="V21" s="129"/>
      <c r="W21" s="129"/>
      <c r="X21" s="129"/>
      <c r="Y21" s="129"/>
      <c r="Z21" s="129"/>
      <c r="AA21" s="129"/>
      <c r="AB21" s="129"/>
      <c r="AC21" s="129"/>
      <c r="AD21" s="127"/>
      <c r="AE21" s="127"/>
      <c r="AF21" s="127"/>
      <c r="AG21" s="127"/>
    </row>
    <row r="22" spans="1:33" s="33" customFormat="1">
      <c r="A22" s="344"/>
      <c r="B22" s="334"/>
      <c r="C22" s="407"/>
      <c r="D22" s="502" t="s">
        <v>64</v>
      </c>
      <c r="E22" s="116"/>
      <c r="F22" s="116"/>
      <c r="G22" s="116"/>
      <c r="H22" s="116"/>
      <c r="I22" s="94"/>
      <c r="J22" s="94"/>
      <c r="K22" s="94"/>
      <c r="L22" s="116"/>
      <c r="M22" s="116"/>
      <c r="N22" s="116"/>
      <c r="O22" s="116"/>
      <c r="P22" s="116"/>
      <c r="Q22" s="427"/>
      <c r="R22" s="334"/>
      <c r="S22" s="134"/>
      <c r="T22" s="131"/>
      <c r="U22" s="131"/>
      <c r="V22" s="129"/>
      <c r="W22" s="129"/>
      <c r="X22" s="129"/>
      <c r="Y22" s="129"/>
      <c r="Z22" s="129"/>
      <c r="AA22" s="129"/>
      <c r="AB22" s="129"/>
      <c r="AC22" s="129"/>
      <c r="AD22" s="127"/>
      <c r="AE22" s="127"/>
      <c r="AF22" s="127"/>
      <c r="AG22" s="127"/>
    </row>
    <row r="23" spans="1:33" s="28" customFormat="1" ht="38.25" customHeight="1">
      <c r="A23" s="345"/>
      <c r="B23" s="334"/>
      <c r="C23" s="410"/>
      <c r="D23" s="706" t="s">
        <v>198</v>
      </c>
      <c r="E23" s="707"/>
      <c r="F23" s="707"/>
      <c r="G23" s="707"/>
      <c r="H23" s="707"/>
      <c r="I23" s="707"/>
      <c r="J23" s="707"/>
      <c r="K23" s="707"/>
      <c r="L23" s="707"/>
      <c r="M23" s="707"/>
      <c r="N23" s="707"/>
      <c r="O23" s="707"/>
      <c r="P23" s="708"/>
      <c r="Q23" s="428"/>
      <c r="R23" s="334"/>
      <c r="S23" s="132" t="s">
        <v>0</v>
      </c>
      <c r="T23" s="131"/>
      <c r="U23" s="131"/>
      <c r="V23" s="64"/>
      <c r="W23" s="64"/>
      <c r="X23" s="64"/>
      <c r="Y23" s="64"/>
      <c r="Z23" s="64"/>
      <c r="AA23" s="64"/>
      <c r="AB23" s="64"/>
      <c r="AC23" s="64"/>
      <c r="AD23" s="130"/>
      <c r="AE23" s="130"/>
      <c r="AF23" s="130"/>
      <c r="AG23" s="130"/>
    </row>
    <row r="24" spans="1:33" s="33" customFormat="1" ht="14.25">
      <c r="A24" s="344"/>
      <c r="B24" s="334"/>
      <c r="C24" s="411"/>
      <c r="D24" s="503" t="s">
        <v>60</v>
      </c>
      <c r="E24" s="412" t="s">
        <v>18</v>
      </c>
      <c r="F24" s="412" t="s">
        <v>19</v>
      </c>
      <c r="G24" s="412"/>
      <c r="H24" s="412"/>
      <c r="I24" s="292"/>
      <c r="J24" s="292"/>
      <c r="K24" s="292"/>
      <c r="L24" s="412"/>
      <c r="M24" s="412"/>
      <c r="N24" s="412"/>
      <c r="O24" s="412"/>
      <c r="P24" s="413" t="s">
        <v>0</v>
      </c>
      <c r="Q24" s="427"/>
      <c r="R24" s="334"/>
      <c r="S24" s="228"/>
      <c r="T24" s="229"/>
      <c r="U24" s="229"/>
      <c r="V24" s="230"/>
      <c r="W24" s="230"/>
      <c r="X24" s="230"/>
      <c r="Y24" s="230"/>
      <c r="Z24" s="230"/>
      <c r="AA24" s="230"/>
      <c r="AB24" s="230"/>
      <c r="AC24" s="230"/>
      <c r="AD24" s="127"/>
      <c r="AE24" s="127"/>
      <c r="AF24" s="127"/>
      <c r="AG24" s="127"/>
    </row>
    <row r="25" spans="1:33" s="28" customFormat="1" ht="15.75" customHeight="1">
      <c r="A25" s="345"/>
      <c r="B25" s="334"/>
      <c r="C25" s="410"/>
      <c r="D25" s="414" t="s">
        <v>4</v>
      </c>
      <c r="E25" s="415" t="s">
        <v>229</v>
      </c>
      <c r="F25" s="416">
        <v>1</v>
      </c>
      <c r="G25" s="417">
        <v>2</v>
      </c>
      <c r="H25" s="418">
        <v>3</v>
      </c>
      <c r="I25" s="74">
        <v>4</v>
      </c>
      <c r="J25" s="75">
        <v>5</v>
      </c>
      <c r="K25" s="76">
        <v>6</v>
      </c>
      <c r="L25" s="419">
        <v>7</v>
      </c>
      <c r="M25" s="420">
        <v>8</v>
      </c>
      <c r="N25" s="421">
        <v>9</v>
      </c>
      <c r="O25" s="422">
        <v>10</v>
      </c>
      <c r="P25" s="111"/>
      <c r="Q25" s="428"/>
      <c r="R25" s="334"/>
      <c r="S25" s="135">
        <f>VLOOKUP($E25,R.VL_DEQResourcesInvolved,2,FALSE)</f>
        <v>0</v>
      </c>
      <c r="T25" s="121">
        <f>VLOOKUP($E25,R.VL_DEQResourcesInvolved,3,FALSE)</f>
        <v>0</v>
      </c>
      <c r="U25" s="121">
        <f>IF(S25=10,T25,VLOOKUP($E25,R.VL_DEQResourcesInvolved,4,FALSE))</f>
        <v>0</v>
      </c>
      <c r="V25" s="575" t="s">
        <v>587</v>
      </c>
      <c r="W25" s="64"/>
      <c r="X25" s="64"/>
      <c r="Y25" s="64"/>
      <c r="Z25" s="64"/>
      <c r="AA25" s="64"/>
      <c r="AB25" s="64"/>
      <c r="AC25" s="64"/>
      <c r="AD25" s="130"/>
      <c r="AE25" s="130"/>
      <c r="AF25" s="130"/>
      <c r="AG25" s="130"/>
    </row>
    <row r="26" spans="1:33" s="28" customFormat="1">
      <c r="A26" s="345"/>
      <c r="B26" s="334"/>
      <c r="C26" s="423"/>
      <c r="D26" s="424"/>
      <c r="E26" s="425"/>
      <c r="F26" s="425"/>
      <c r="G26" s="425"/>
      <c r="H26" s="425"/>
      <c r="I26" s="378"/>
      <c r="J26" s="378"/>
      <c r="K26" s="378"/>
      <c r="L26" s="425"/>
      <c r="M26" s="425"/>
      <c r="N26" s="425"/>
      <c r="O26" s="425"/>
      <c r="P26" s="425"/>
      <c r="Q26" s="426"/>
      <c r="R26" s="334"/>
      <c r="S26" s="132"/>
      <c r="T26" s="131"/>
      <c r="U26" s="131"/>
      <c r="V26" s="64"/>
      <c r="W26" s="64"/>
      <c r="X26" s="64"/>
      <c r="Y26" s="64"/>
      <c r="Z26" s="64"/>
      <c r="AA26" s="64"/>
      <c r="AB26" s="64"/>
      <c r="AC26" s="64"/>
      <c r="AD26" s="130"/>
      <c r="AE26" s="130"/>
      <c r="AF26" s="130"/>
      <c r="AG26" s="130"/>
    </row>
    <row r="27" spans="1:33" s="33" customFormat="1" ht="30" customHeight="1">
      <c r="A27" s="344"/>
      <c r="B27" s="334"/>
      <c r="C27" s="407"/>
      <c r="D27" s="522" t="s">
        <v>207</v>
      </c>
      <c r="E27" s="116"/>
      <c r="F27" s="116"/>
      <c r="G27" s="116"/>
      <c r="H27" s="116"/>
      <c r="I27" s="94"/>
      <c r="J27" s="94"/>
      <c r="K27" s="94"/>
      <c r="L27" s="116"/>
      <c r="M27" s="116"/>
      <c r="N27" s="116"/>
      <c r="O27" s="116"/>
      <c r="P27" s="116"/>
      <c r="Q27" s="427"/>
      <c r="R27" s="334"/>
      <c r="S27" s="134"/>
      <c r="T27" s="131"/>
      <c r="U27" s="131"/>
      <c r="V27" s="129"/>
      <c r="W27" s="129"/>
      <c r="X27" s="129"/>
      <c r="Y27" s="129"/>
      <c r="Z27" s="129"/>
      <c r="AA27" s="129"/>
      <c r="AB27" s="129"/>
      <c r="AC27" s="129"/>
      <c r="AD27" s="127"/>
      <c r="AE27" s="127"/>
      <c r="AF27" s="127"/>
      <c r="AG27" s="127"/>
    </row>
    <row r="28" spans="1:33" s="33" customFormat="1" ht="14.25" customHeight="1">
      <c r="A28" s="344"/>
      <c r="B28" s="334"/>
      <c r="C28" s="407"/>
      <c r="D28" s="502" t="s">
        <v>64</v>
      </c>
      <c r="E28" s="116"/>
      <c r="F28" s="116"/>
      <c r="G28" s="116"/>
      <c r="H28" s="116"/>
      <c r="I28" s="94"/>
      <c r="J28" s="94"/>
      <c r="K28" s="94"/>
      <c r="L28" s="116"/>
      <c r="M28" s="116"/>
      <c r="N28" s="116"/>
      <c r="O28" s="116"/>
      <c r="P28" s="116"/>
      <c r="Q28" s="427"/>
      <c r="R28" s="334"/>
      <c r="S28" s="134"/>
      <c r="T28" s="131"/>
      <c r="U28" s="131"/>
      <c r="V28" s="129"/>
      <c r="W28" s="129"/>
      <c r="X28" s="129"/>
      <c r="Y28" s="129"/>
      <c r="Z28" s="129"/>
      <c r="AA28" s="129"/>
      <c r="AB28" s="129"/>
      <c r="AC28" s="129"/>
      <c r="AD28" s="127"/>
      <c r="AE28" s="127"/>
      <c r="AF28" s="127"/>
      <c r="AG28" s="127"/>
    </row>
    <row r="29" spans="1:33" s="28" customFormat="1" ht="15.75" customHeight="1">
      <c r="A29" s="345"/>
      <c r="B29" s="334"/>
      <c r="C29" s="410"/>
      <c r="D29" s="706" t="s">
        <v>0</v>
      </c>
      <c r="E29" s="707"/>
      <c r="F29" s="707"/>
      <c r="G29" s="707"/>
      <c r="H29" s="707"/>
      <c r="I29" s="707"/>
      <c r="J29" s="707"/>
      <c r="K29" s="707"/>
      <c r="L29" s="707"/>
      <c r="M29" s="707"/>
      <c r="N29" s="707"/>
      <c r="O29" s="707"/>
      <c r="P29" s="708"/>
      <c r="Q29" s="428"/>
      <c r="R29" s="334"/>
      <c r="S29" s="132" t="s">
        <v>0</v>
      </c>
      <c r="T29" s="131"/>
      <c r="U29" s="131"/>
      <c r="V29" s="64"/>
      <c r="W29" s="64"/>
      <c r="X29" s="64"/>
      <c r="Y29" s="64"/>
      <c r="Z29" s="64"/>
      <c r="AA29" s="64"/>
      <c r="AB29" s="64"/>
      <c r="AC29" s="64"/>
      <c r="AD29" s="130"/>
      <c r="AE29" s="130"/>
      <c r="AF29" s="130"/>
      <c r="AG29" s="130"/>
    </row>
    <row r="30" spans="1:33" s="33" customFormat="1" ht="14.25">
      <c r="A30" s="344"/>
      <c r="B30" s="334"/>
      <c r="C30" s="411"/>
      <c r="D30" s="503" t="s">
        <v>60</v>
      </c>
      <c r="E30" s="412" t="s">
        <v>18</v>
      </c>
      <c r="F30" s="412" t="s">
        <v>19</v>
      </c>
      <c r="G30" s="412"/>
      <c r="H30" s="412"/>
      <c r="I30" s="292"/>
      <c r="J30" s="292"/>
      <c r="K30" s="292"/>
      <c r="L30" s="412"/>
      <c r="M30" s="412"/>
      <c r="N30" s="412"/>
      <c r="O30" s="412"/>
      <c r="P30" s="413" t="s">
        <v>0</v>
      </c>
      <c r="Q30" s="427"/>
      <c r="R30" s="334"/>
      <c r="S30" s="228"/>
      <c r="T30" s="229"/>
      <c r="U30" s="229"/>
      <c r="V30" s="230"/>
      <c r="W30" s="230"/>
      <c r="X30" s="230"/>
      <c r="Y30" s="230"/>
      <c r="Z30" s="230"/>
      <c r="AA30" s="230"/>
      <c r="AB30" s="230"/>
      <c r="AC30" s="230"/>
      <c r="AD30" s="127"/>
      <c r="AE30" s="127"/>
      <c r="AF30" s="127"/>
      <c r="AG30" s="127"/>
    </row>
    <row r="31" spans="1:33" s="28" customFormat="1" ht="15.75" customHeight="1">
      <c r="A31" s="345"/>
      <c r="B31" s="334"/>
      <c r="C31" s="410"/>
      <c r="D31" s="562" t="s">
        <v>223</v>
      </c>
      <c r="E31" s="415" t="s">
        <v>229</v>
      </c>
      <c r="F31" s="416">
        <v>1</v>
      </c>
      <c r="G31" s="417">
        <v>2</v>
      </c>
      <c r="H31" s="418">
        <v>3</v>
      </c>
      <c r="I31" s="74">
        <v>4</v>
      </c>
      <c r="J31" s="75">
        <v>5</v>
      </c>
      <c r="K31" s="76">
        <v>6</v>
      </c>
      <c r="L31" s="419">
        <v>7</v>
      </c>
      <c r="M31" s="420">
        <v>8</v>
      </c>
      <c r="N31" s="421">
        <v>9</v>
      </c>
      <c r="O31" s="422">
        <v>10</v>
      </c>
      <c r="P31" s="111"/>
      <c r="Q31" s="428"/>
      <c r="R31" s="334"/>
      <c r="S31" s="135">
        <f>VLOOKUP($E31,R.VL_DEQResourcesInvolved,2,FALSE)</f>
        <v>0</v>
      </c>
      <c r="T31" s="121">
        <f>VLOOKUP($E31,R.VL_DEQResourcesInvolved,3,FALSE)</f>
        <v>0</v>
      </c>
      <c r="U31" s="121">
        <f>IF(S31=10,T31,VLOOKUP($E31,R.VL_DEQResourcesInvolved,4,FALSE))</f>
        <v>0</v>
      </c>
      <c r="V31" s="575" t="s">
        <v>587</v>
      </c>
      <c r="W31" s="64"/>
      <c r="X31" s="64"/>
      <c r="Y31" s="64"/>
      <c r="Z31" s="64"/>
      <c r="AA31" s="64"/>
      <c r="AB31" s="64"/>
      <c r="AC31" s="64"/>
      <c r="AD31" s="130"/>
      <c r="AE31" s="130"/>
      <c r="AF31" s="130"/>
      <c r="AG31" s="130"/>
    </row>
    <row r="32" spans="1:33" s="28" customFormat="1" ht="14.25" customHeight="1">
      <c r="A32" s="345"/>
      <c r="B32" s="334"/>
      <c r="C32" s="429"/>
      <c r="D32" s="430"/>
      <c r="E32" s="425"/>
      <c r="F32" s="425"/>
      <c r="G32" s="425"/>
      <c r="H32" s="425"/>
      <c r="I32" s="378"/>
      <c r="J32" s="378"/>
      <c r="K32" s="378"/>
      <c r="L32" s="425"/>
      <c r="M32" s="425"/>
      <c r="N32" s="425"/>
      <c r="O32" s="425"/>
      <c r="P32" s="425"/>
      <c r="Q32" s="431"/>
      <c r="R32" s="334"/>
      <c r="S32" s="132"/>
      <c r="T32" s="134"/>
      <c r="U32" s="134"/>
      <c r="V32" s="64"/>
      <c r="W32" s="64"/>
      <c r="X32" s="64"/>
      <c r="Y32" s="64"/>
      <c r="Z32" s="64"/>
      <c r="AA32" s="64"/>
      <c r="AB32" s="64"/>
      <c r="AC32" s="64"/>
      <c r="AD32" s="130"/>
      <c r="AE32" s="130"/>
      <c r="AF32" s="130"/>
      <c r="AG32" s="130"/>
    </row>
    <row r="33" spans="1:33" s="33" customFormat="1" ht="30" customHeight="1">
      <c r="A33" s="344"/>
      <c r="B33" s="334"/>
      <c r="C33" s="407"/>
      <c r="D33" s="522" t="s">
        <v>208</v>
      </c>
      <c r="E33" s="409"/>
      <c r="F33" s="111"/>
      <c r="G33" s="111"/>
      <c r="H33" s="111"/>
      <c r="I33" s="435"/>
      <c r="J33" s="435"/>
      <c r="K33" s="435"/>
      <c r="L33" s="111"/>
      <c r="M33" s="111"/>
      <c r="N33" s="111"/>
      <c r="O33" s="111"/>
      <c r="P33" s="116"/>
      <c r="Q33" s="427"/>
      <c r="R33" s="334"/>
      <c r="S33" s="134"/>
      <c r="T33" s="131"/>
      <c r="U33" s="131"/>
      <c r="V33" s="129"/>
      <c r="W33" s="129"/>
      <c r="X33" s="129"/>
      <c r="Y33" s="129"/>
      <c r="Z33" s="129"/>
      <c r="AA33" s="129"/>
      <c r="AB33" s="129"/>
      <c r="AC33" s="129"/>
      <c r="AD33" s="127"/>
      <c r="AE33" s="127"/>
      <c r="AF33" s="127"/>
      <c r="AG33" s="127"/>
    </row>
    <row r="34" spans="1:33" s="33" customFormat="1" ht="14.25" customHeight="1">
      <c r="A34" s="344"/>
      <c r="B34" s="334"/>
      <c r="C34" s="407"/>
      <c r="D34" s="502" t="s">
        <v>64</v>
      </c>
      <c r="E34" s="116"/>
      <c r="F34" s="116"/>
      <c r="G34" s="116"/>
      <c r="H34" s="116"/>
      <c r="I34" s="94"/>
      <c r="J34" s="94"/>
      <c r="K34" s="94"/>
      <c r="L34" s="116"/>
      <c r="M34" s="116"/>
      <c r="N34" s="116"/>
      <c r="O34" s="116"/>
      <c r="P34" s="116"/>
      <c r="Q34" s="427"/>
      <c r="R34" s="334"/>
      <c r="S34" s="134"/>
      <c r="T34" s="131"/>
      <c r="U34" s="131"/>
      <c r="V34" s="129"/>
      <c r="W34" s="129"/>
      <c r="X34" s="129"/>
      <c r="Y34" s="129"/>
      <c r="Z34" s="129"/>
      <c r="AA34" s="129"/>
      <c r="AB34" s="129"/>
      <c r="AC34" s="129"/>
      <c r="AD34" s="127"/>
      <c r="AE34" s="127"/>
      <c r="AF34" s="127"/>
      <c r="AG34" s="127"/>
    </row>
    <row r="35" spans="1:33" s="28" customFormat="1" ht="15.75" customHeight="1">
      <c r="A35" s="345"/>
      <c r="B35" s="334"/>
      <c r="C35" s="410"/>
      <c r="D35" s="706" t="s">
        <v>0</v>
      </c>
      <c r="E35" s="707"/>
      <c r="F35" s="707"/>
      <c r="G35" s="707"/>
      <c r="H35" s="707"/>
      <c r="I35" s="707"/>
      <c r="J35" s="707"/>
      <c r="K35" s="707"/>
      <c r="L35" s="707"/>
      <c r="M35" s="707"/>
      <c r="N35" s="707"/>
      <c r="O35" s="707"/>
      <c r="P35" s="708"/>
      <c r="Q35" s="428"/>
      <c r="R35" s="334"/>
      <c r="S35" s="132" t="s">
        <v>0</v>
      </c>
      <c r="T35" s="131"/>
      <c r="U35" s="131"/>
      <c r="V35" s="64"/>
      <c r="W35" s="64"/>
      <c r="X35" s="64"/>
      <c r="Y35" s="64"/>
      <c r="Z35" s="64"/>
      <c r="AA35" s="64"/>
      <c r="AB35" s="64"/>
      <c r="AC35" s="64"/>
      <c r="AD35" s="130"/>
      <c r="AE35" s="130"/>
      <c r="AF35" s="130"/>
      <c r="AG35" s="130"/>
    </row>
    <row r="36" spans="1:33" s="33" customFormat="1" ht="14.25">
      <c r="A36" s="344"/>
      <c r="B36" s="334"/>
      <c r="C36" s="411"/>
      <c r="D36" s="503" t="s">
        <v>60</v>
      </c>
      <c r="E36" s="412" t="s">
        <v>18</v>
      </c>
      <c r="F36" s="412" t="s">
        <v>19</v>
      </c>
      <c r="G36" s="412"/>
      <c r="H36" s="412"/>
      <c r="I36" s="292"/>
      <c r="J36" s="292"/>
      <c r="K36" s="292"/>
      <c r="L36" s="412"/>
      <c r="M36" s="412"/>
      <c r="N36" s="412"/>
      <c r="O36" s="412"/>
      <c r="P36" s="413" t="s">
        <v>0</v>
      </c>
      <c r="Q36" s="427"/>
      <c r="R36" s="334"/>
      <c r="S36" s="228"/>
      <c r="T36" s="229"/>
      <c r="U36" s="229"/>
      <c r="V36" s="230"/>
      <c r="W36" s="230"/>
      <c r="X36" s="230"/>
      <c r="Y36" s="230"/>
      <c r="Z36" s="230"/>
      <c r="AA36" s="230"/>
      <c r="AB36" s="230"/>
      <c r="AC36" s="230"/>
      <c r="AD36" s="127"/>
      <c r="AE36" s="127"/>
      <c r="AF36" s="127"/>
      <c r="AG36" s="127"/>
    </row>
    <row r="37" spans="1:33" s="28" customFormat="1" ht="15.75" customHeight="1">
      <c r="A37" s="345"/>
      <c r="B37" s="334"/>
      <c r="C37" s="410"/>
      <c r="D37" s="562" t="s">
        <v>430</v>
      </c>
      <c r="E37" s="415" t="s">
        <v>229</v>
      </c>
      <c r="F37" s="416">
        <v>1</v>
      </c>
      <c r="G37" s="417">
        <v>2</v>
      </c>
      <c r="H37" s="418">
        <v>3</v>
      </c>
      <c r="I37" s="74">
        <v>4</v>
      </c>
      <c r="J37" s="75">
        <v>5</v>
      </c>
      <c r="K37" s="76">
        <v>6</v>
      </c>
      <c r="L37" s="419">
        <v>7</v>
      </c>
      <c r="M37" s="420">
        <v>8</v>
      </c>
      <c r="N37" s="421">
        <v>9</v>
      </c>
      <c r="O37" s="422">
        <v>10</v>
      </c>
      <c r="P37" s="111"/>
      <c r="Q37" s="428"/>
      <c r="R37" s="334"/>
      <c r="S37" s="135">
        <f>VLOOKUP($E37,R.VL_DEQResourcesInvolved,2,FALSE)</f>
        <v>0</v>
      </c>
      <c r="T37" s="121">
        <f>VLOOKUP($E37,R.VL_DEQResourcesInvolved,3,FALSE)</f>
        <v>0</v>
      </c>
      <c r="U37" s="121">
        <f>IF(S37=10,T37,VLOOKUP($E37,R.VL_DEQResourcesInvolved,4,FALSE))</f>
        <v>0</v>
      </c>
      <c r="V37" s="575" t="s">
        <v>587</v>
      </c>
      <c r="W37" s="64"/>
      <c r="X37" s="64"/>
      <c r="Y37" s="64"/>
      <c r="Z37" s="64"/>
      <c r="AA37" s="64"/>
      <c r="AB37" s="64"/>
      <c r="AC37" s="64"/>
      <c r="AD37" s="130"/>
      <c r="AE37" s="130"/>
      <c r="AF37" s="130"/>
      <c r="AG37" s="130"/>
    </row>
    <row r="38" spans="1:33" s="28" customFormat="1" ht="14.25" customHeight="1">
      <c r="A38" s="345"/>
      <c r="B38" s="334"/>
      <c r="C38" s="423"/>
      <c r="D38" s="424"/>
      <c r="E38" s="425"/>
      <c r="F38" s="425"/>
      <c r="G38" s="425"/>
      <c r="H38" s="425"/>
      <c r="I38" s="378"/>
      <c r="J38" s="378"/>
      <c r="K38" s="378"/>
      <c r="L38" s="425"/>
      <c r="M38" s="425"/>
      <c r="N38" s="425"/>
      <c r="O38" s="425"/>
      <c r="P38" s="425"/>
      <c r="Q38" s="426"/>
      <c r="R38" s="334"/>
      <c r="S38" s="132"/>
      <c r="T38" s="131"/>
      <c r="U38" s="131"/>
      <c r="V38" s="64"/>
      <c r="W38" s="64"/>
      <c r="X38" s="64"/>
      <c r="Y38" s="64"/>
      <c r="Z38" s="64"/>
      <c r="AA38" s="64"/>
      <c r="AB38" s="64"/>
      <c r="AC38" s="64"/>
      <c r="AD38" s="130"/>
      <c r="AE38" s="130"/>
      <c r="AF38" s="130"/>
      <c r="AG38" s="130"/>
    </row>
    <row r="39" spans="1:33" s="29" customFormat="1" ht="30" customHeight="1">
      <c r="A39" s="344"/>
      <c r="B39" s="334"/>
      <c r="C39" s="233"/>
      <c r="D39" s="644" t="str">
        <f>"Please suggest process improvements to the "&amp;D2&amp;" worksheet."</f>
        <v>Please suggest process improvements to the Advisors worksheet.</v>
      </c>
      <c r="E39" s="644"/>
      <c r="F39" s="456"/>
      <c r="G39" s="457"/>
      <c r="H39" s="458"/>
      <c r="I39" s="453"/>
      <c r="J39" s="454"/>
      <c r="K39" s="455"/>
      <c r="L39" s="459"/>
      <c r="M39" s="460"/>
      <c r="N39" s="461"/>
      <c r="O39" s="462"/>
      <c r="P39" s="234"/>
      <c r="Q39" s="147"/>
      <c r="R39" s="334"/>
      <c r="S39" s="235"/>
      <c r="T39" s="229"/>
      <c r="U39" s="229"/>
      <c r="V39" s="236"/>
      <c r="W39" s="236"/>
      <c r="X39" s="236"/>
      <c r="Y39" s="236"/>
      <c r="Z39" s="236"/>
      <c r="AA39" s="236"/>
      <c r="AB39" s="236"/>
      <c r="AC39" s="236"/>
      <c r="AD39" s="65"/>
      <c r="AE39" s="65"/>
      <c r="AF39" s="65"/>
      <c r="AG39" s="65"/>
    </row>
    <row r="40" spans="1:33" s="6" customFormat="1" ht="30.75" customHeight="1">
      <c r="A40" s="350"/>
      <c r="B40" s="334"/>
      <c r="C40" s="136"/>
      <c r="D40" s="641"/>
      <c r="E40" s="642"/>
      <c r="F40" s="642"/>
      <c r="G40" s="642"/>
      <c r="H40" s="642"/>
      <c r="I40" s="642"/>
      <c r="J40" s="642"/>
      <c r="K40" s="642"/>
      <c r="L40" s="642"/>
      <c r="M40" s="642"/>
      <c r="N40" s="642"/>
      <c r="O40" s="642"/>
      <c r="P40" s="643"/>
      <c r="Q40" s="148"/>
      <c r="R40" s="334"/>
      <c r="S40" s="132"/>
      <c r="T40" s="131"/>
      <c r="U40" s="131"/>
      <c r="V40" s="64"/>
      <c r="W40" s="64"/>
      <c r="X40" s="64"/>
      <c r="Y40" s="64"/>
      <c r="Z40" s="64"/>
      <c r="AA40" s="64"/>
      <c r="AB40" s="64"/>
      <c r="AC40" s="64"/>
      <c r="AD40" s="66"/>
      <c r="AE40" s="66"/>
      <c r="AF40" s="66"/>
      <c r="AG40" s="66"/>
    </row>
    <row r="41" spans="1:33" ht="18" customHeight="1">
      <c r="A41" s="350" t="s">
        <v>108</v>
      </c>
      <c r="B41" s="334"/>
      <c r="C41" s="149"/>
      <c r="D41" s="150"/>
      <c r="E41" s="150"/>
      <c r="F41" s="150"/>
      <c r="G41" s="150"/>
      <c r="H41" s="150"/>
      <c r="I41" s="150"/>
      <c r="J41" s="150"/>
      <c r="K41" s="150"/>
      <c r="L41" s="150"/>
      <c r="M41" s="150"/>
      <c r="N41" s="150"/>
      <c r="O41" s="150"/>
      <c r="P41" s="150"/>
      <c r="Q41" s="151"/>
      <c r="R41" s="334"/>
    </row>
    <row r="42" spans="1:33" s="64" customFormat="1" ht="14.25" customHeight="1">
      <c r="A42" s="337"/>
      <c r="B42" s="334"/>
      <c r="C42" s="334"/>
      <c r="D42" s="334"/>
      <c r="E42" s="334"/>
      <c r="F42" s="334"/>
      <c r="G42" s="334"/>
      <c r="H42" s="334"/>
      <c r="I42" s="334"/>
      <c r="J42" s="334"/>
      <c r="K42" s="334"/>
      <c r="L42" s="334"/>
      <c r="M42" s="334"/>
      <c r="N42" s="334"/>
      <c r="O42" s="334"/>
      <c r="P42" s="334"/>
      <c r="Q42" s="334"/>
      <c r="R42" s="334"/>
      <c r="S42" s="113"/>
    </row>
    <row r="43" spans="1:33" s="64" customFormat="1" ht="60" customHeight="1">
      <c r="A43" s="337"/>
      <c r="C43" s="112"/>
      <c r="I43" s="434"/>
      <c r="J43" s="434"/>
      <c r="K43" s="434"/>
      <c r="S43" s="113"/>
    </row>
    <row r="44" spans="1:33" s="64" customFormat="1" ht="60" customHeight="1">
      <c r="A44" s="337"/>
      <c r="C44" s="112"/>
      <c r="I44" s="434"/>
      <c r="J44" s="434"/>
      <c r="K44" s="434"/>
      <c r="S44" s="113"/>
    </row>
    <row r="45" spans="1:33" s="64" customFormat="1" ht="60" customHeight="1">
      <c r="A45" s="337"/>
      <c r="C45" s="112"/>
      <c r="I45" s="434"/>
      <c r="J45" s="434"/>
      <c r="K45" s="434"/>
      <c r="S45" s="113"/>
    </row>
    <row r="46" spans="1:33" s="64" customFormat="1" ht="60" customHeight="1">
      <c r="A46" s="337"/>
      <c r="C46" s="112"/>
      <c r="I46" s="434"/>
      <c r="J46" s="434"/>
      <c r="K46" s="434"/>
      <c r="S46" s="113"/>
    </row>
    <row r="47" spans="1:33" s="64" customFormat="1" ht="60" customHeight="1">
      <c r="A47" s="337"/>
      <c r="C47" s="112"/>
      <c r="I47" s="434"/>
      <c r="J47" s="434"/>
      <c r="K47" s="434"/>
      <c r="S47" s="113"/>
    </row>
    <row r="48" spans="1:33" s="64" customFormat="1" ht="60" customHeight="1">
      <c r="A48" s="337"/>
      <c r="C48" s="112"/>
      <c r="I48" s="434"/>
      <c r="J48" s="434"/>
      <c r="K48" s="434"/>
      <c r="S48" s="113"/>
    </row>
    <row r="49" spans="1:19" s="64" customFormat="1" ht="60" customHeight="1">
      <c r="A49" s="337"/>
      <c r="C49" s="112"/>
      <c r="I49" s="434"/>
      <c r="J49" s="434"/>
      <c r="K49" s="434"/>
      <c r="S49" s="113"/>
    </row>
    <row r="50" spans="1:19" s="64" customFormat="1" ht="60" customHeight="1">
      <c r="A50" s="337"/>
      <c r="C50" s="112"/>
      <c r="I50" s="434"/>
      <c r="J50" s="434"/>
      <c r="K50" s="434"/>
      <c r="S50" s="113"/>
    </row>
    <row r="51" spans="1:19" s="64" customFormat="1" ht="60" customHeight="1">
      <c r="A51" s="337"/>
      <c r="C51" s="112"/>
      <c r="I51" s="434"/>
      <c r="J51" s="434"/>
      <c r="K51" s="434"/>
      <c r="S51" s="113"/>
    </row>
    <row r="52" spans="1:19" s="64" customFormat="1" ht="60" customHeight="1">
      <c r="A52" s="337"/>
      <c r="C52" s="112"/>
      <c r="I52" s="434"/>
      <c r="J52" s="434"/>
      <c r="K52" s="434"/>
      <c r="S52" s="113"/>
    </row>
    <row r="53" spans="1:19" s="64" customFormat="1" ht="60" customHeight="1">
      <c r="A53" s="337"/>
      <c r="C53" s="112"/>
      <c r="I53" s="434"/>
      <c r="J53" s="434"/>
      <c r="K53" s="434"/>
      <c r="S53" s="113"/>
    </row>
    <row r="54" spans="1:19" s="64" customFormat="1" ht="60" customHeight="1">
      <c r="A54" s="337"/>
      <c r="C54" s="112"/>
      <c r="I54" s="434"/>
      <c r="J54" s="434"/>
      <c r="K54" s="434"/>
      <c r="S54" s="113"/>
    </row>
    <row r="55" spans="1:19" s="64" customFormat="1" ht="60" customHeight="1">
      <c r="A55" s="337"/>
      <c r="C55" s="112"/>
      <c r="I55" s="434"/>
      <c r="J55" s="434"/>
      <c r="K55" s="434"/>
      <c r="S55" s="113"/>
    </row>
    <row r="56" spans="1:19" s="64" customFormat="1" ht="60" customHeight="1">
      <c r="A56" s="337"/>
      <c r="C56" s="112"/>
      <c r="I56" s="434"/>
      <c r="J56" s="434"/>
      <c r="K56" s="434"/>
      <c r="S56" s="113"/>
    </row>
    <row r="57" spans="1:19" s="64" customFormat="1" ht="60" customHeight="1">
      <c r="A57" s="337"/>
      <c r="C57" s="112"/>
      <c r="I57" s="434"/>
      <c r="J57" s="434"/>
      <c r="K57" s="434"/>
      <c r="S57" s="113"/>
    </row>
    <row r="58" spans="1:19" s="64" customFormat="1" ht="60" customHeight="1">
      <c r="A58" s="337"/>
      <c r="C58" s="112"/>
      <c r="I58" s="434"/>
      <c r="J58" s="434"/>
      <c r="K58" s="434"/>
      <c r="S58" s="113"/>
    </row>
    <row r="59" spans="1:19" s="64" customFormat="1" ht="60" customHeight="1">
      <c r="A59" s="337"/>
      <c r="C59" s="112"/>
      <c r="I59" s="434"/>
      <c r="J59" s="434"/>
      <c r="K59" s="434"/>
      <c r="S59" s="113"/>
    </row>
    <row r="60" spans="1:19" s="64" customFormat="1" ht="60" customHeight="1">
      <c r="A60" s="337"/>
      <c r="C60" s="112"/>
      <c r="I60" s="434"/>
      <c r="J60" s="434"/>
      <c r="K60" s="434"/>
      <c r="S60" s="113"/>
    </row>
    <row r="61" spans="1:19" s="64" customFormat="1" ht="60" customHeight="1">
      <c r="A61" s="337"/>
      <c r="C61" s="112"/>
      <c r="I61" s="434"/>
      <c r="J61" s="434"/>
      <c r="K61" s="434"/>
      <c r="S61" s="113"/>
    </row>
    <row r="62" spans="1:19" s="64" customFormat="1" ht="60" customHeight="1">
      <c r="A62" s="337"/>
      <c r="C62" s="112"/>
      <c r="I62" s="434"/>
      <c r="J62" s="434"/>
      <c r="K62" s="434"/>
      <c r="S62" s="113"/>
    </row>
    <row r="63" spans="1:19" s="64" customFormat="1" ht="60" customHeight="1">
      <c r="A63" s="337"/>
      <c r="C63" s="112"/>
      <c r="I63" s="434"/>
      <c r="J63" s="434"/>
      <c r="K63" s="434"/>
      <c r="S63" s="113"/>
    </row>
    <row r="64" spans="1:19" s="64" customFormat="1" ht="60" customHeight="1">
      <c r="A64" s="337"/>
      <c r="C64" s="112"/>
      <c r="I64" s="434"/>
      <c r="J64" s="434"/>
      <c r="K64" s="434"/>
      <c r="S64" s="113"/>
    </row>
    <row r="65" spans="1:19" s="64" customFormat="1" ht="60" customHeight="1">
      <c r="A65" s="337"/>
      <c r="C65" s="112"/>
      <c r="I65" s="434"/>
      <c r="J65" s="434"/>
      <c r="K65" s="434"/>
      <c r="S65" s="113"/>
    </row>
    <row r="66" spans="1:19" s="64" customFormat="1" ht="60" customHeight="1">
      <c r="A66" s="337"/>
      <c r="C66" s="112"/>
      <c r="I66" s="434"/>
      <c r="J66" s="434"/>
      <c r="K66" s="434"/>
      <c r="S66" s="113"/>
    </row>
    <row r="67" spans="1:19" s="64" customFormat="1" ht="60" customHeight="1">
      <c r="A67" s="337"/>
      <c r="C67" s="112"/>
      <c r="I67" s="434"/>
      <c r="J67" s="434"/>
      <c r="K67" s="434"/>
      <c r="S67" s="113"/>
    </row>
    <row r="68" spans="1:19" s="64" customFormat="1" ht="60" customHeight="1">
      <c r="A68" s="337"/>
      <c r="C68" s="112"/>
      <c r="I68" s="434"/>
      <c r="J68" s="434"/>
      <c r="K68" s="434"/>
      <c r="S68" s="113"/>
    </row>
    <row r="69" spans="1:19" s="64" customFormat="1" ht="60" customHeight="1">
      <c r="A69" s="337"/>
      <c r="C69" s="112"/>
      <c r="I69" s="434"/>
      <c r="J69" s="434"/>
      <c r="K69" s="434"/>
      <c r="S69" s="113"/>
    </row>
    <row r="70" spans="1:19" s="64" customFormat="1" ht="60" customHeight="1">
      <c r="A70" s="337"/>
      <c r="C70" s="112"/>
      <c r="I70" s="434"/>
      <c r="J70" s="434"/>
      <c r="K70" s="434"/>
      <c r="S70" s="113"/>
    </row>
    <row r="71" spans="1:19" s="64" customFormat="1" ht="60" customHeight="1">
      <c r="A71" s="337"/>
      <c r="C71" s="112"/>
      <c r="I71" s="434"/>
      <c r="J71" s="434"/>
      <c r="K71" s="434"/>
      <c r="S71" s="113"/>
    </row>
    <row r="72" spans="1:19" s="64" customFormat="1">
      <c r="A72" s="337"/>
      <c r="C72" s="112"/>
      <c r="I72" s="434"/>
      <c r="J72" s="434"/>
      <c r="K72" s="434"/>
      <c r="S72" s="113"/>
    </row>
    <row r="73" spans="1:19" s="64" customFormat="1">
      <c r="A73" s="337"/>
      <c r="C73" s="112"/>
      <c r="I73" s="434"/>
      <c r="J73" s="434"/>
      <c r="K73" s="434"/>
      <c r="S73" s="113"/>
    </row>
  </sheetData>
  <sheetProtection sheet="1" scenarios="1" formatCells="0" formatRows="0" insertHyperlinks="0"/>
  <mergeCells count="15">
    <mergeCell ref="D7:P7"/>
    <mergeCell ref="S7:U7"/>
    <mergeCell ref="E2:P2"/>
    <mergeCell ref="M3:P3"/>
    <mergeCell ref="F4:L4"/>
    <mergeCell ref="M4:P4"/>
    <mergeCell ref="F5:L5"/>
    <mergeCell ref="M5:P5"/>
    <mergeCell ref="D11:P11"/>
    <mergeCell ref="D17:P17"/>
    <mergeCell ref="D23:P23"/>
    <mergeCell ref="D40:P40"/>
    <mergeCell ref="D35:P35"/>
    <mergeCell ref="D29:P29"/>
    <mergeCell ref="D39:E39"/>
  </mergeCells>
  <conditionalFormatting sqref="F39:O39 F41:O41 F37:O37 F27:O27 F31:O31 F25:O25 F13:O13 F15:O15 F19:O19">
    <cfRule type="colorScale" priority="302">
      <colorScale>
        <cfvo type="num" val="0"/>
        <cfvo type="num" val="5"/>
        <cfvo type="num" val="10"/>
        <color rgb="FF00B050"/>
        <color rgb="FFFFFF00"/>
        <color rgb="FFFF0000"/>
      </colorScale>
    </cfRule>
  </conditionalFormatting>
  <conditionalFormatting sqref="I13 I19 I25 I31 I37">
    <cfRule type="expression" dxfId="2617" priority="134" stopIfTrue="1">
      <formula>IF($S13&lt;4,TRUE,)</formula>
    </cfRule>
  </conditionalFormatting>
  <conditionalFormatting sqref="N13 N19 N25 N31 N37">
    <cfRule type="expression" dxfId="2616" priority="139" stopIfTrue="1">
      <formula>IF($S13&lt;9,TRUE,)</formula>
    </cfRule>
  </conditionalFormatting>
  <conditionalFormatting sqref="M13 M19 M25 M31 M37">
    <cfRule type="expression" dxfId="2615" priority="138" stopIfTrue="1">
      <formula>IF($S13&lt;8,TRUE,)</formula>
    </cfRule>
  </conditionalFormatting>
  <conditionalFormatting sqref="L13 L19 L25 L31 L37">
    <cfRule type="expression" dxfId="2614" priority="137" stopIfTrue="1">
      <formula>IF($S13&lt;7,TRUE,)</formula>
    </cfRule>
  </conditionalFormatting>
  <conditionalFormatting sqref="K13 K19 K25 K31 K37">
    <cfRule type="expression" dxfId="2613" priority="136" stopIfTrue="1">
      <formula>IF($S13&lt;6,TRUE,)</formula>
    </cfRule>
  </conditionalFormatting>
  <conditionalFormatting sqref="J13 J19 J25 J31 J37">
    <cfRule type="expression" dxfId="2612" priority="135" stopIfTrue="1">
      <formula>IF($S13&lt;5,TRUE,)</formula>
    </cfRule>
  </conditionalFormatting>
  <conditionalFormatting sqref="H13 H19 H25 H31 H37">
    <cfRule type="expression" dxfId="2611" priority="133" stopIfTrue="1">
      <formula>IF($S13&lt;3,TRUE,)</formula>
    </cfRule>
  </conditionalFormatting>
  <conditionalFormatting sqref="G13 G19 G25 G31 G37">
    <cfRule type="expression" dxfId="2610" priority="132" stopIfTrue="1">
      <formula>IF($S13&lt;2,TRUE,)</formula>
    </cfRule>
  </conditionalFormatting>
  <conditionalFormatting sqref="F13 F19 F25 F31 F37">
    <cfRule type="expression" dxfId="2609" priority="131" stopIfTrue="1">
      <formula>IF($S13&lt;1,TRUE,)</formula>
    </cfRule>
  </conditionalFormatting>
  <conditionalFormatting sqref="O13 O19 O25 O31 O37">
    <cfRule type="expression" dxfId="2608" priority="130" stopIfTrue="1">
      <formula>IF($S13&lt;10,TRUE,)</formula>
    </cfRule>
  </conditionalFormatting>
  <dataValidations xWindow="820" yWindow="588" count="5">
    <dataValidation type="list" allowBlank="1" showInputMessage="1" showErrorMessage="1" sqref="P39">
      <formula1>R.DDL_DEQStaffRank</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40:P40"/>
    <dataValidation allowBlank="1" showInputMessage="1" showErrorMessage="1" promptTitle="ENTER ROLE" prompt="Enter the role that this person fulfills. Do not duplicate ROLES or staff listed in other areas of this workbook. " sqref="D35:P35 D29:P29 D11:P11 D17:P17 D23:P23"/>
    <dataValidation type="list" allowBlank="1" showInputMessage="1" showErrorMessage="1" promptTitle="DROP DOWN LIST" prompt="Select a range of hours from the drop down list that best describes how involved this resource will be in DEVELOPING this project." sqref="E37 E31 E13 E19 E25">
      <formula1>R.DDL_DEQResourcesInvolved</formula1>
    </dataValidation>
    <dataValidation allowBlank="1" showInputMessage="1" showErrorMessage="1" promptTitle="ENTER NAME" prompt="Enter the name of the STAFF or FUNCTION involved with DEVELOPING the project._x000a_" sqref="D31 D25 D13 D19 D37"/>
  </dataValidations>
  <hyperlinks>
    <hyperlink ref="A1" location="R.0Header" display="⧀ Go to Content"/>
    <hyperlink ref="A2" r:id="rId1" location="Advisory_Committees" display="⧀ on Q-net"/>
    <hyperlink ref="A9" r:id="rId2" display="⧀ Go to DOJ"/>
    <hyperlink ref="A15" r:id="rId3"/>
    <hyperlink ref="A21" r:id="rId4" display="⧀ on Q-net"/>
    <hyperlink ref="A41" location="R.4Header" display="Go to Top"/>
  </hyperlinks>
  <pageMargins left="0.25" right="0.25" top="0.38" bottom="0.37" header="0.3" footer="0.3"/>
  <pageSetup orientation="portrait" horizontalDpi="4294967293" verticalDpi="4294967293" r:id="rId5"/>
  <rowBreaks count="1" manualBreakCount="1">
    <brk id="26" min="2" max="16" man="1"/>
  </rowBreaks>
  <drawing r:id="rId6"/>
  <legacyDrawing r:id="rId7"/>
</worksheet>
</file>

<file path=xl/worksheets/sheet8.xml><?xml version="1.0" encoding="utf-8"?>
<worksheet xmlns="http://schemas.openxmlformats.org/spreadsheetml/2006/main" xmlns:r="http://schemas.openxmlformats.org/officeDocument/2006/relationships">
  <sheetPr codeName="Sheet11"/>
  <dimension ref="A1:AI63"/>
  <sheetViews>
    <sheetView showGridLines="0" topLeftCell="A19" zoomScaleNormal="100" workbookViewId="0">
      <selection activeCell="E20" sqref="E20"/>
    </sheetView>
  </sheetViews>
  <sheetFormatPr defaultColWidth="9" defaultRowHeight="20.25" outlineLevelRow="1" outlineLevelCol="1"/>
  <cols>
    <col min="1" max="1" width="13.5" style="337" customWidth="1"/>
    <col min="2" max="2" width="2.75" customWidth="1"/>
    <col min="3" max="3" width="2.625" style="44" customWidth="1"/>
    <col min="4" max="4" width="38.125" style="102" customWidth="1"/>
    <col min="5" max="5" width="25.625" style="102" customWidth="1"/>
    <col min="6" max="15" width="1.625" style="102" customWidth="1"/>
    <col min="16" max="16" width="15.75" style="102" customWidth="1"/>
    <col min="17" max="17" width="2.75" style="102" customWidth="1"/>
    <col min="18" max="18" width="2.625" style="64" customWidth="1"/>
    <col min="19" max="19" width="9" style="113" hidden="1" customWidth="1" outlineLevel="1"/>
    <col min="20" max="20" width="14.875" style="64" hidden="1" customWidth="1" outlineLevel="1"/>
    <col min="21" max="21" width="14.625" style="64" hidden="1" customWidth="1" outlineLevel="1"/>
    <col min="22" max="22" width="6.75" style="436" hidden="1" customWidth="1" outlineLevel="1"/>
    <col min="23" max="23" width="6.875" style="436" hidden="1" customWidth="1" outlineLevel="1"/>
    <col min="24" max="24" width="30.625" style="64" customWidth="1" collapsed="1"/>
    <col min="25" max="25" width="16.5" style="64" customWidth="1"/>
    <col min="26" max="26" width="18" style="64" customWidth="1"/>
    <col min="27" max="35" width="31.125" style="64" customWidth="1"/>
    <col min="36" max="16384" width="9" style="102"/>
  </cols>
  <sheetData>
    <row r="1" spans="1:35" s="64" customFormat="1" ht="20.25" customHeight="1">
      <c r="A1" s="350" t="s">
        <v>104</v>
      </c>
      <c r="B1" s="334"/>
      <c r="C1" s="334"/>
      <c r="D1" s="334"/>
      <c r="E1" s="334"/>
      <c r="F1" s="334"/>
      <c r="G1" s="334"/>
      <c r="H1" s="334"/>
      <c r="I1" s="334"/>
      <c r="J1" s="334"/>
      <c r="K1" s="334"/>
      <c r="L1" s="334"/>
      <c r="M1" s="334"/>
      <c r="N1" s="334"/>
      <c r="O1" s="334"/>
      <c r="P1" s="334"/>
      <c r="Q1" s="334"/>
      <c r="R1" s="334"/>
      <c r="S1" s="113"/>
      <c r="V1" s="436"/>
      <c r="W1" s="436"/>
    </row>
    <row r="2" spans="1:35" s="6" customFormat="1" ht="30" customHeight="1" thickBot="1">
      <c r="A2" s="336"/>
      <c r="B2" s="334"/>
      <c r="C2" s="332">
        <v>5</v>
      </c>
      <c r="D2" s="331" t="s">
        <v>240</v>
      </c>
      <c r="E2" s="713" t="str">
        <f>R.1MediaAndLongName</f>
        <v>CP Division 12 Updates</v>
      </c>
      <c r="F2" s="713"/>
      <c r="G2" s="713"/>
      <c r="H2" s="713"/>
      <c r="I2" s="713"/>
      <c r="J2" s="713"/>
      <c r="K2" s="713"/>
      <c r="L2" s="713"/>
      <c r="M2" s="713"/>
      <c r="N2" s="713"/>
      <c r="O2" s="713"/>
      <c r="P2" s="713"/>
      <c r="Q2" s="154"/>
      <c r="R2" s="334"/>
      <c r="S2" s="119" t="str">
        <f>"R."&amp;$C$2&amp;"StaffCount"</f>
        <v>R.5StaffCount</v>
      </c>
      <c r="T2" s="119" t="str">
        <f>"R."&amp;$C$2&amp;"LowHrs"</f>
        <v>R.5LowHrs</v>
      </c>
      <c r="U2" s="349" t="str">
        <f>"R."&amp;$C$2&amp;"HighHrs"</f>
        <v>R.5HighHrs</v>
      </c>
      <c r="V2" s="349"/>
      <c r="W2" s="349"/>
      <c r="X2" s="120" t="s">
        <v>0</v>
      </c>
      <c r="Y2" s="64"/>
      <c r="Z2" s="64"/>
      <c r="AA2" s="64"/>
      <c r="AB2" s="64"/>
      <c r="AC2" s="64"/>
      <c r="AD2" s="64"/>
      <c r="AE2" s="64"/>
      <c r="AF2" s="66"/>
      <c r="AG2" s="66"/>
      <c r="AH2" s="66"/>
      <c r="AI2" s="66"/>
    </row>
    <row r="3" spans="1:35" s="29" customFormat="1" ht="20.25" customHeight="1" thickTop="1">
      <c r="A3" s="342"/>
      <c r="B3" s="334"/>
      <c r="C3" s="237"/>
      <c r="D3" s="238"/>
      <c r="E3" s="238"/>
      <c r="F3" s="238"/>
      <c r="G3" s="164"/>
      <c r="H3" s="164"/>
      <c r="I3" s="164"/>
      <c r="J3" s="97"/>
      <c r="K3" s="40"/>
      <c r="L3" s="40"/>
      <c r="M3" s="699" t="s">
        <v>57</v>
      </c>
      <c r="N3" s="699"/>
      <c r="O3" s="699"/>
      <c r="P3" s="699"/>
      <c r="Q3" s="240"/>
      <c r="R3" s="334"/>
      <c r="S3" s="354">
        <f>COUNTIFS(S9:S27,"&gt;0")</f>
        <v>1</v>
      </c>
      <c r="T3" s="355">
        <f>SUM(T9:T27)</f>
        <v>1</v>
      </c>
      <c r="U3" s="355">
        <f>SUM(U9:U27)</f>
        <v>8</v>
      </c>
      <c r="V3" s="498"/>
      <c r="W3" s="498"/>
      <c r="X3" s="241"/>
      <c r="Y3" s="236"/>
      <c r="Z3" s="236"/>
      <c r="AA3" s="236"/>
      <c r="AB3" s="236"/>
      <c r="AC3" s="236"/>
      <c r="AD3" s="236"/>
      <c r="AE3" s="236"/>
      <c r="AF3" s="65"/>
      <c r="AG3" s="65"/>
      <c r="AH3" s="65"/>
      <c r="AI3" s="65"/>
    </row>
    <row r="4" spans="1:35" s="29" customFormat="1" ht="20.25" customHeight="1">
      <c r="A4" s="344"/>
      <c r="B4" s="334"/>
      <c r="C4" s="237"/>
      <c r="D4" s="494" t="s">
        <v>55</v>
      </c>
      <c r="E4" s="81">
        <f>S3</f>
        <v>1</v>
      </c>
      <c r="F4" s="700" t="s">
        <v>54</v>
      </c>
      <c r="G4" s="700"/>
      <c r="H4" s="700"/>
      <c r="I4" s="700"/>
      <c r="J4" s="700"/>
      <c r="K4" s="700"/>
      <c r="L4" s="700"/>
      <c r="M4" s="701" t="str">
        <f>S4</f>
        <v>1-8</v>
      </c>
      <c r="N4" s="701"/>
      <c r="O4" s="701"/>
      <c r="P4" s="701"/>
      <c r="Q4" s="240"/>
      <c r="R4" s="334"/>
      <c r="S4" s="122" t="str">
        <f>IF(R.5StaffCount=0,"0",IF(R.5LowHrs=0,"0-"&amp;TEXT(R.5HighHrs,"#,###"),TEXT(R.5LowHrs,"#,###")&amp;"-"&amp;TEXT(R.5HighHrs,"#,###")))</f>
        <v>1-8</v>
      </c>
      <c r="T4" s="119" t="str">
        <f>"R."&amp;$C$2&amp;"LowDollars"</f>
        <v>R.5LowDollars</v>
      </c>
      <c r="U4" s="349" t="str">
        <f>"R."&amp;$C$2&amp;"HighDollars"</f>
        <v>R.5HighDollars</v>
      </c>
      <c r="V4" s="349"/>
      <c r="W4" s="349"/>
      <c r="X4" s="241"/>
      <c r="Y4" s="236"/>
      <c r="Z4" s="236"/>
      <c r="AA4" s="236"/>
      <c r="AB4" s="236"/>
      <c r="AC4" s="236"/>
      <c r="AD4" s="236"/>
      <c r="AE4" s="236"/>
      <c r="AF4" s="65"/>
      <c r="AG4" s="65"/>
      <c r="AH4" s="65"/>
      <c r="AI4" s="65"/>
    </row>
    <row r="5" spans="1:35" s="29" customFormat="1" ht="20.25" customHeight="1">
      <c r="A5" s="344"/>
      <c r="B5" s="334"/>
      <c r="C5" s="237"/>
      <c r="D5" s="494" t="s">
        <v>56</v>
      </c>
      <c r="E5" s="98">
        <v>58</v>
      </c>
      <c r="F5" s="700" t="s">
        <v>58</v>
      </c>
      <c r="G5" s="700"/>
      <c r="H5" s="700"/>
      <c r="I5" s="700"/>
      <c r="J5" s="700"/>
      <c r="K5" s="700"/>
      <c r="L5" s="700"/>
      <c r="M5" s="702" t="str">
        <f>S5</f>
        <v>$58-464</v>
      </c>
      <c r="N5" s="702"/>
      <c r="O5" s="702"/>
      <c r="P5" s="702"/>
      <c r="Q5" s="240"/>
      <c r="R5" s="334"/>
      <c r="S5" s="353" t="str">
        <f>IF(R.5StaffCount=0,"$0",IF(R.5LowDollars=0,"$0-"&amp;TEXT(R.5HighDollars,"#,###"),TEXT(R.5LowDollars,"$#,###")&amp;"-"&amp;TEXT(R.5HighDollars,"#,###")))</f>
        <v>$58-464</v>
      </c>
      <c r="T5" s="352">
        <f>T3*E5</f>
        <v>58</v>
      </c>
      <c r="U5" s="352">
        <f>U3*E5</f>
        <v>464</v>
      </c>
      <c r="V5" s="510"/>
      <c r="W5" s="510"/>
      <c r="X5" s="241"/>
      <c r="Y5" s="236"/>
      <c r="Z5" s="236"/>
      <c r="AA5" s="236"/>
      <c r="AB5" s="236"/>
      <c r="AC5" s="236"/>
      <c r="AD5" s="236"/>
      <c r="AE5" s="236"/>
      <c r="AF5" s="65"/>
      <c r="AG5" s="65"/>
      <c r="AH5" s="65"/>
      <c r="AI5" s="65"/>
    </row>
    <row r="6" spans="1:35" s="6" customFormat="1" ht="30" customHeight="1">
      <c r="A6" s="344"/>
      <c r="B6" s="334"/>
      <c r="C6" s="155"/>
      <c r="D6" s="447" t="s">
        <v>66</v>
      </c>
      <c r="E6" s="100"/>
      <c r="F6" s="99"/>
      <c r="G6" s="99"/>
      <c r="H6" s="99"/>
      <c r="I6" s="99"/>
      <c r="J6" s="99"/>
      <c r="K6" s="99"/>
      <c r="L6" s="99"/>
      <c r="M6" s="99"/>
      <c r="N6" s="99"/>
      <c r="O6" s="99"/>
      <c r="P6" s="99"/>
      <c r="Q6" s="156"/>
      <c r="R6" s="334"/>
      <c r="S6" s="66"/>
      <c r="T6" s="66"/>
      <c r="U6" s="66"/>
      <c r="V6" s="66"/>
      <c r="W6" s="66"/>
      <c r="X6" s="120"/>
      <c r="Y6" s="64"/>
      <c r="Z6" s="64"/>
      <c r="AA6" s="64"/>
      <c r="AB6" s="64"/>
      <c r="AC6" s="64"/>
      <c r="AD6" s="64"/>
      <c r="AE6" s="64"/>
      <c r="AF6" s="66"/>
      <c r="AG6" s="66"/>
      <c r="AH6" s="66"/>
      <c r="AI6" s="66"/>
    </row>
    <row r="7" spans="1:35" s="69" customFormat="1" ht="15.75" customHeight="1">
      <c r="A7" s="345"/>
      <c r="B7" s="334"/>
      <c r="C7" s="157"/>
      <c r="D7" s="694"/>
      <c r="E7" s="695"/>
      <c r="F7" s="695"/>
      <c r="G7" s="695"/>
      <c r="H7" s="695"/>
      <c r="I7" s="695"/>
      <c r="J7" s="695"/>
      <c r="K7" s="695"/>
      <c r="L7" s="695"/>
      <c r="M7" s="695"/>
      <c r="N7" s="695"/>
      <c r="O7" s="695"/>
      <c r="P7" s="696"/>
      <c r="Q7" s="158"/>
      <c r="R7" s="334"/>
      <c r="S7" s="712" t="s">
        <v>0</v>
      </c>
      <c r="T7" s="712"/>
      <c r="U7" s="712"/>
      <c r="V7" s="466"/>
      <c r="W7" s="466"/>
      <c r="X7" s="126"/>
      <c r="Y7" s="126" t="s">
        <v>0</v>
      </c>
      <c r="Z7" s="126"/>
      <c r="AA7" s="126"/>
      <c r="AB7" s="126"/>
      <c r="AC7" s="126"/>
      <c r="AD7" s="126"/>
      <c r="AE7" s="126"/>
      <c r="AF7" s="125"/>
      <c r="AG7" s="125"/>
      <c r="AH7" s="125"/>
      <c r="AI7" s="125"/>
    </row>
    <row r="8" spans="1:35" s="69" customFormat="1" ht="14.25" customHeight="1">
      <c r="A8" s="345"/>
      <c r="B8" s="334"/>
      <c r="C8" s="404"/>
      <c r="D8" s="405"/>
      <c r="E8" s="405"/>
      <c r="F8" s="405"/>
      <c r="G8" s="405"/>
      <c r="H8" s="405"/>
      <c r="I8" s="405"/>
      <c r="J8" s="405"/>
      <c r="K8" s="405"/>
      <c r="L8" s="405"/>
      <c r="M8" s="405"/>
      <c r="N8" s="405"/>
      <c r="O8" s="405"/>
      <c r="P8" s="405"/>
      <c r="Q8" s="406"/>
      <c r="R8" s="334"/>
      <c r="S8" s="125"/>
      <c r="T8" s="125"/>
      <c r="U8" s="125"/>
      <c r="V8" s="125"/>
      <c r="W8" s="125"/>
      <c r="X8" s="126"/>
      <c r="Y8" s="126"/>
      <c r="Z8" s="126"/>
      <c r="AA8" s="126"/>
      <c r="AB8" s="126"/>
      <c r="AC8" s="126"/>
      <c r="AD8" s="126"/>
      <c r="AE8" s="126"/>
      <c r="AF8" s="125"/>
      <c r="AG8" s="125"/>
      <c r="AH8" s="125"/>
      <c r="AI8" s="125"/>
    </row>
    <row r="9" spans="1:35" s="33" customFormat="1" ht="30" customHeight="1">
      <c r="A9" s="350" t="s">
        <v>107</v>
      </c>
      <c r="B9" s="334"/>
      <c r="C9" s="136"/>
      <c r="D9" s="304" t="s">
        <v>124</v>
      </c>
      <c r="E9" s="94"/>
      <c r="F9" s="435"/>
      <c r="G9" s="435"/>
      <c r="H9" s="435"/>
      <c r="I9" s="435"/>
      <c r="J9" s="435"/>
      <c r="K9" s="435"/>
      <c r="L9" s="435"/>
      <c r="M9" s="435"/>
      <c r="N9" s="435"/>
      <c r="O9" s="435"/>
      <c r="P9" s="94"/>
      <c r="Q9" s="137"/>
      <c r="R9" s="334"/>
      <c r="S9" s="134"/>
      <c r="T9" s="131"/>
      <c r="U9" s="131"/>
      <c r="V9" s="131"/>
      <c r="W9" s="131"/>
      <c r="X9" s="129"/>
      <c r="Y9" s="129"/>
      <c r="Z9" s="129"/>
      <c r="AA9" s="129"/>
      <c r="AB9" s="129"/>
      <c r="AC9" s="129"/>
      <c r="AD9" s="129"/>
      <c r="AE9" s="129"/>
      <c r="AF9" s="127"/>
      <c r="AG9" s="127"/>
      <c r="AH9" s="127"/>
      <c r="AI9" s="127"/>
    </row>
    <row r="10" spans="1:35" s="33" customFormat="1" ht="14.25" customHeight="1">
      <c r="A10" s="344"/>
      <c r="B10" s="334"/>
      <c r="C10" s="232"/>
      <c r="D10" s="443" t="s">
        <v>183</v>
      </c>
      <c r="E10" s="94"/>
      <c r="F10" s="94"/>
      <c r="G10" s="94"/>
      <c r="H10" s="94"/>
      <c r="I10" s="94"/>
      <c r="J10" s="94"/>
      <c r="K10" s="94"/>
      <c r="L10" s="94"/>
      <c r="M10" s="94"/>
      <c r="N10" s="94"/>
      <c r="O10" s="94"/>
      <c r="P10" s="94"/>
      <c r="Q10" s="137"/>
      <c r="R10" s="334"/>
      <c r="S10" s="235"/>
      <c r="T10" s="229"/>
      <c r="U10" s="229"/>
      <c r="V10" s="229"/>
      <c r="W10" s="229"/>
      <c r="X10" s="230"/>
      <c r="Y10" s="230"/>
      <c r="Z10" s="230"/>
      <c r="AA10" s="230"/>
      <c r="AB10" s="230"/>
      <c r="AC10" s="230"/>
      <c r="AD10" s="230"/>
      <c r="AE10" s="230"/>
      <c r="AF10" s="127"/>
      <c r="AG10" s="127"/>
      <c r="AH10" s="127"/>
      <c r="AI10" s="127"/>
    </row>
    <row r="11" spans="1:35" s="28" customFormat="1" ht="15.75" customHeight="1">
      <c r="A11" s="345"/>
      <c r="B11" s="334"/>
      <c r="C11" s="138"/>
      <c r="D11" s="714"/>
      <c r="E11" s="715"/>
      <c r="F11" s="715"/>
      <c r="G11" s="715"/>
      <c r="H11" s="715"/>
      <c r="I11" s="715"/>
      <c r="J11" s="715"/>
      <c r="K11" s="715"/>
      <c r="L11" s="715"/>
      <c r="M11" s="715"/>
      <c r="N11" s="715"/>
      <c r="O11" s="715"/>
      <c r="P11" s="716"/>
      <c r="Q11" s="139"/>
      <c r="R11" s="334"/>
      <c r="S11" s="132" t="s">
        <v>0</v>
      </c>
      <c r="T11" s="131"/>
      <c r="U11" s="131"/>
      <c r="V11" s="131"/>
      <c r="W11" s="131"/>
      <c r="X11" s="64"/>
      <c r="Y11" s="64"/>
      <c r="Z11" s="64"/>
      <c r="AA11" s="64"/>
      <c r="AB11" s="64"/>
      <c r="AC11" s="64"/>
      <c r="AD11" s="64"/>
      <c r="AE11" s="64"/>
      <c r="AF11" s="130"/>
      <c r="AG11" s="130"/>
      <c r="AH11" s="130"/>
      <c r="AI11" s="130"/>
    </row>
    <row r="12" spans="1:35" s="33" customFormat="1" ht="14.25" customHeight="1">
      <c r="A12" s="344"/>
      <c r="B12" s="334"/>
      <c r="C12" s="232"/>
      <c r="D12" s="442" t="s">
        <v>60</v>
      </c>
      <c r="E12" s="292" t="s">
        <v>18</v>
      </c>
      <c r="F12" s="292" t="s">
        <v>19</v>
      </c>
      <c r="G12" s="292"/>
      <c r="H12" s="292"/>
      <c r="I12" s="292"/>
      <c r="J12" s="292"/>
      <c r="K12" s="292"/>
      <c r="L12" s="292"/>
      <c r="M12" s="292"/>
      <c r="N12" s="292"/>
      <c r="O12" s="292"/>
      <c r="P12" s="509" t="s">
        <v>70</v>
      </c>
      <c r="Q12" s="137"/>
      <c r="R12" s="334"/>
      <c r="S12" s="228"/>
      <c r="T12" s="229"/>
      <c r="U12" s="229"/>
      <c r="V12" s="229"/>
      <c r="W12" s="229"/>
      <c r="X12" s="230"/>
      <c r="Y12" s="230"/>
      <c r="Z12" s="230"/>
      <c r="AA12" s="230"/>
      <c r="AB12" s="230"/>
      <c r="AC12" s="230"/>
      <c r="AD12" s="230"/>
      <c r="AE12" s="230"/>
      <c r="AF12" s="127"/>
      <c r="AG12" s="127"/>
      <c r="AH12" s="127"/>
      <c r="AI12" s="127"/>
    </row>
    <row r="13" spans="1:35" s="28" customFormat="1" ht="15.75" customHeight="1">
      <c r="A13" s="345"/>
      <c r="B13" s="334"/>
      <c r="C13" s="138"/>
      <c r="D13" s="524" t="s">
        <v>186</v>
      </c>
      <c r="E13" s="30" t="s">
        <v>231</v>
      </c>
      <c r="F13" s="71">
        <v>1</v>
      </c>
      <c r="G13" s="72">
        <v>2</v>
      </c>
      <c r="H13" s="73">
        <v>3</v>
      </c>
      <c r="I13" s="74">
        <v>4</v>
      </c>
      <c r="J13" s="75">
        <v>5</v>
      </c>
      <c r="K13" s="76">
        <v>6</v>
      </c>
      <c r="L13" s="77">
        <v>7</v>
      </c>
      <c r="M13" s="78">
        <v>8</v>
      </c>
      <c r="N13" s="79">
        <v>9</v>
      </c>
      <c r="O13" s="80">
        <v>10</v>
      </c>
      <c r="P13" s="507"/>
      <c r="Q13" s="139"/>
      <c r="R13" s="334"/>
      <c r="S13" s="133">
        <f t="shared" ref="S13:S18" si="0">VLOOKUP($E13,R.VL_DEQResourcesInvolved,2,FALSE)</f>
        <v>1</v>
      </c>
      <c r="T13" s="121">
        <f t="shared" ref="T13:T18" si="1">VLOOKUP($E13,R.VL_DEQResourcesInvolved,3,FALSE)</f>
        <v>1</v>
      </c>
      <c r="U13" s="121">
        <f t="shared" ref="U13:U18" si="2">IF(S13=10,T13,VLOOKUP($E13,R.VL_DEQResourcesInvolved,4,FALSE))</f>
        <v>8</v>
      </c>
      <c r="V13" s="121" t="str">
        <f t="shared" ref="V13:V18" si="3">T13&amp;"-"&amp;U13</f>
        <v>1-8</v>
      </c>
      <c r="W13" s="128"/>
      <c r="X13" s="575" t="s">
        <v>587</v>
      </c>
      <c r="Y13" s="64"/>
      <c r="Z13" s="64"/>
      <c r="AA13" s="64"/>
      <c r="AB13" s="64"/>
      <c r="AC13" s="64"/>
      <c r="AD13" s="64"/>
      <c r="AE13" s="64"/>
      <c r="AF13" s="130"/>
      <c r="AG13" s="130"/>
      <c r="AH13" s="130"/>
      <c r="AI13" s="130"/>
    </row>
    <row r="14" spans="1:35" s="28" customFormat="1" ht="15.75" customHeight="1">
      <c r="A14" s="345"/>
      <c r="B14" s="334"/>
      <c r="C14" s="138"/>
      <c r="D14" s="524" t="s">
        <v>192</v>
      </c>
      <c r="E14" s="30" t="s">
        <v>229</v>
      </c>
      <c r="F14" s="71">
        <v>1</v>
      </c>
      <c r="G14" s="72">
        <v>2</v>
      </c>
      <c r="H14" s="73">
        <v>3</v>
      </c>
      <c r="I14" s="74">
        <v>4</v>
      </c>
      <c r="J14" s="75">
        <v>5</v>
      </c>
      <c r="K14" s="76">
        <v>6</v>
      </c>
      <c r="L14" s="77">
        <v>7</v>
      </c>
      <c r="M14" s="78">
        <v>8</v>
      </c>
      <c r="N14" s="79">
        <v>9</v>
      </c>
      <c r="O14" s="80">
        <v>10</v>
      </c>
      <c r="P14" s="507"/>
      <c r="Q14" s="139"/>
      <c r="R14" s="334"/>
      <c r="S14" s="133">
        <f t="shared" si="0"/>
        <v>0</v>
      </c>
      <c r="T14" s="121">
        <f t="shared" si="1"/>
        <v>0</v>
      </c>
      <c r="U14" s="121">
        <f t="shared" si="2"/>
        <v>0</v>
      </c>
      <c r="V14" s="121" t="str">
        <f t="shared" si="3"/>
        <v>0-0</v>
      </c>
      <c r="W14" s="128"/>
      <c r="X14" s="575" t="s">
        <v>587</v>
      </c>
      <c r="Y14" s="436"/>
      <c r="Z14" s="436"/>
      <c r="AA14" s="436"/>
      <c r="AB14" s="436"/>
      <c r="AC14" s="436"/>
      <c r="AD14" s="436"/>
      <c r="AE14" s="436"/>
      <c r="AF14" s="130"/>
      <c r="AG14" s="130"/>
      <c r="AH14" s="130"/>
      <c r="AI14" s="130"/>
    </row>
    <row r="15" spans="1:35" s="28" customFormat="1" ht="15.75" customHeight="1" outlineLevel="1">
      <c r="A15" s="345"/>
      <c r="B15" s="334"/>
      <c r="C15" s="138"/>
      <c r="D15" s="524" t="s">
        <v>188</v>
      </c>
      <c r="E15" s="30" t="s">
        <v>229</v>
      </c>
      <c r="F15" s="71">
        <v>1</v>
      </c>
      <c r="G15" s="72">
        <v>2</v>
      </c>
      <c r="H15" s="73">
        <v>3</v>
      </c>
      <c r="I15" s="74">
        <v>4</v>
      </c>
      <c r="J15" s="75">
        <v>5</v>
      </c>
      <c r="K15" s="76">
        <v>6</v>
      </c>
      <c r="L15" s="77">
        <v>7</v>
      </c>
      <c r="M15" s="78">
        <v>8</v>
      </c>
      <c r="N15" s="79">
        <v>9</v>
      </c>
      <c r="O15" s="80">
        <v>10</v>
      </c>
      <c r="P15" s="508"/>
      <c r="Q15" s="139"/>
      <c r="R15" s="334"/>
      <c r="S15" s="133">
        <f t="shared" si="0"/>
        <v>0</v>
      </c>
      <c r="T15" s="121">
        <f t="shared" si="1"/>
        <v>0</v>
      </c>
      <c r="U15" s="121">
        <f t="shared" si="2"/>
        <v>0</v>
      </c>
      <c r="V15" s="121" t="str">
        <f t="shared" si="3"/>
        <v>0-0</v>
      </c>
      <c r="W15" s="128"/>
      <c r="X15" s="575" t="s">
        <v>587</v>
      </c>
      <c r="Y15" s="436"/>
      <c r="Z15" s="436"/>
      <c r="AA15" s="436"/>
      <c r="AB15" s="436"/>
      <c r="AC15" s="436"/>
      <c r="AD15" s="436"/>
      <c r="AE15" s="436"/>
      <c r="AF15" s="130"/>
      <c r="AG15" s="130"/>
      <c r="AH15" s="130"/>
      <c r="AI15" s="130"/>
    </row>
    <row r="16" spans="1:35" s="28" customFormat="1" ht="15.75" customHeight="1" outlineLevel="1">
      <c r="A16" s="345"/>
      <c r="B16" s="334"/>
      <c r="C16" s="138"/>
      <c r="D16" s="524" t="s">
        <v>189</v>
      </c>
      <c r="E16" s="30" t="s">
        <v>229</v>
      </c>
      <c r="F16" s="71">
        <v>1</v>
      </c>
      <c r="G16" s="72">
        <v>2</v>
      </c>
      <c r="H16" s="73">
        <v>3</v>
      </c>
      <c r="I16" s="74">
        <v>4</v>
      </c>
      <c r="J16" s="75">
        <v>5</v>
      </c>
      <c r="K16" s="76">
        <v>6</v>
      </c>
      <c r="L16" s="77">
        <v>7</v>
      </c>
      <c r="M16" s="78">
        <v>8</v>
      </c>
      <c r="N16" s="79">
        <v>9</v>
      </c>
      <c r="O16" s="80">
        <v>10</v>
      </c>
      <c r="P16" s="508"/>
      <c r="Q16" s="139"/>
      <c r="R16" s="334"/>
      <c r="S16" s="133">
        <f t="shared" si="0"/>
        <v>0</v>
      </c>
      <c r="T16" s="121">
        <f t="shared" si="1"/>
        <v>0</v>
      </c>
      <c r="U16" s="121">
        <f t="shared" si="2"/>
        <v>0</v>
      </c>
      <c r="V16" s="121" t="str">
        <f t="shared" si="3"/>
        <v>0-0</v>
      </c>
      <c r="W16" s="128"/>
      <c r="X16" s="575" t="s">
        <v>587</v>
      </c>
      <c r="Y16" s="436"/>
      <c r="Z16" s="436"/>
      <c r="AA16" s="436"/>
      <c r="AB16" s="436"/>
      <c r="AC16" s="436"/>
      <c r="AD16" s="436"/>
      <c r="AE16" s="436"/>
      <c r="AF16" s="130"/>
      <c r="AG16" s="130"/>
      <c r="AH16" s="130"/>
      <c r="AI16" s="130"/>
    </row>
    <row r="17" spans="1:35" s="28" customFormat="1" ht="15.75" customHeight="1" outlineLevel="1">
      <c r="A17" s="345"/>
      <c r="B17" s="334"/>
      <c r="C17" s="138"/>
      <c r="D17" s="524" t="s">
        <v>190</v>
      </c>
      <c r="E17" s="30" t="s">
        <v>229</v>
      </c>
      <c r="F17" s="71">
        <v>1</v>
      </c>
      <c r="G17" s="72">
        <v>2</v>
      </c>
      <c r="H17" s="73">
        <v>3</v>
      </c>
      <c r="I17" s="74">
        <v>4</v>
      </c>
      <c r="J17" s="75">
        <v>5</v>
      </c>
      <c r="K17" s="76">
        <v>6</v>
      </c>
      <c r="L17" s="77">
        <v>7</v>
      </c>
      <c r="M17" s="78">
        <v>8</v>
      </c>
      <c r="N17" s="79">
        <v>9</v>
      </c>
      <c r="O17" s="80">
        <v>10</v>
      </c>
      <c r="P17" s="508"/>
      <c r="Q17" s="139"/>
      <c r="R17" s="334"/>
      <c r="S17" s="133">
        <f t="shared" si="0"/>
        <v>0</v>
      </c>
      <c r="T17" s="121">
        <f t="shared" si="1"/>
        <v>0</v>
      </c>
      <c r="U17" s="121">
        <f t="shared" si="2"/>
        <v>0</v>
      </c>
      <c r="V17" s="121" t="str">
        <f t="shared" si="3"/>
        <v>0-0</v>
      </c>
      <c r="W17" s="128"/>
      <c r="X17" s="575" t="s">
        <v>587</v>
      </c>
      <c r="Y17" s="436"/>
      <c r="Z17" s="436"/>
      <c r="AA17" s="436"/>
      <c r="AB17" s="436"/>
      <c r="AC17" s="436"/>
      <c r="AD17" s="436"/>
      <c r="AE17" s="436"/>
      <c r="AF17" s="130"/>
      <c r="AG17" s="130"/>
      <c r="AH17" s="130"/>
      <c r="AI17" s="130"/>
    </row>
    <row r="18" spans="1:35" s="28" customFormat="1" ht="15.75" customHeight="1" outlineLevel="1">
      <c r="A18" s="345"/>
      <c r="B18" s="334"/>
      <c r="C18" s="138"/>
      <c r="D18" s="524" t="s">
        <v>193</v>
      </c>
      <c r="E18" s="30" t="s">
        <v>229</v>
      </c>
      <c r="F18" s="71">
        <v>1</v>
      </c>
      <c r="G18" s="72">
        <v>2</v>
      </c>
      <c r="H18" s="73">
        <v>3</v>
      </c>
      <c r="I18" s="74">
        <v>4</v>
      </c>
      <c r="J18" s="75">
        <v>5</v>
      </c>
      <c r="K18" s="76">
        <v>6</v>
      </c>
      <c r="L18" s="77">
        <v>7</v>
      </c>
      <c r="M18" s="78">
        <v>8</v>
      </c>
      <c r="N18" s="79">
        <v>9</v>
      </c>
      <c r="O18" s="80">
        <v>10</v>
      </c>
      <c r="P18" s="508"/>
      <c r="Q18" s="139"/>
      <c r="R18" s="334"/>
      <c r="S18" s="133">
        <f t="shared" si="0"/>
        <v>0</v>
      </c>
      <c r="T18" s="121">
        <f t="shared" si="1"/>
        <v>0</v>
      </c>
      <c r="U18" s="121">
        <f t="shared" si="2"/>
        <v>0</v>
      </c>
      <c r="V18" s="121" t="str">
        <f t="shared" si="3"/>
        <v>0-0</v>
      </c>
      <c r="W18" s="128"/>
      <c r="X18" s="575" t="s">
        <v>587</v>
      </c>
      <c r="Y18" s="436"/>
      <c r="Z18" s="436"/>
      <c r="AA18" s="436"/>
      <c r="AB18" s="436"/>
      <c r="AC18" s="436"/>
      <c r="AD18" s="436"/>
      <c r="AE18" s="436"/>
      <c r="AF18" s="130"/>
      <c r="AG18" s="130"/>
      <c r="AH18" s="130"/>
      <c r="AI18" s="130"/>
    </row>
    <row r="19" spans="1:35" s="28" customFormat="1" ht="14.25" customHeight="1">
      <c r="A19" s="345"/>
      <c r="B19" s="334"/>
      <c r="C19" s="376"/>
      <c r="D19" s="377"/>
      <c r="E19" s="378"/>
      <c r="F19" s="378"/>
      <c r="G19" s="378"/>
      <c r="H19" s="378"/>
      <c r="I19" s="378"/>
      <c r="J19" s="378"/>
      <c r="K19" s="378"/>
      <c r="L19" s="378"/>
      <c r="M19" s="378"/>
      <c r="N19" s="378"/>
      <c r="O19" s="378"/>
      <c r="P19" s="378"/>
      <c r="Q19" s="379"/>
      <c r="R19" s="334"/>
      <c r="S19" s="132"/>
      <c r="T19" s="131"/>
      <c r="U19" s="131"/>
      <c r="V19" s="121" t="str">
        <f>SUM(T13:T18)&amp;"-"&amp;SUM(U13:U18)</f>
        <v>1-8</v>
      </c>
      <c r="W19"/>
      <c r="X19" s="64"/>
      <c r="Y19" s="64"/>
      <c r="Z19" s="64"/>
      <c r="AA19" s="64"/>
      <c r="AB19" s="64"/>
      <c r="AC19" s="64"/>
      <c r="AD19" s="64"/>
      <c r="AE19" s="64"/>
      <c r="AF19" s="130"/>
      <c r="AG19" s="130"/>
      <c r="AH19" s="130"/>
      <c r="AI19" s="130"/>
    </row>
    <row r="20" spans="1:35" s="33" customFormat="1" ht="30" customHeight="1">
      <c r="A20" s="336"/>
      <c r="B20" s="334"/>
      <c r="C20" s="136"/>
      <c r="D20" s="445" t="s">
        <v>199</v>
      </c>
      <c r="E20" s="94"/>
      <c r="F20" s="94"/>
      <c r="G20" s="94"/>
      <c r="H20" s="94"/>
      <c r="I20" s="94"/>
      <c r="J20" s="94"/>
      <c r="K20" s="94"/>
      <c r="L20" s="94"/>
      <c r="M20" s="94"/>
      <c r="N20" s="94"/>
      <c r="O20" s="94"/>
      <c r="P20" s="94"/>
      <c r="Q20" s="137"/>
      <c r="R20" s="334"/>
      <c r="S20" s="134"/>
      <c r="T20" s="131"/>
      <c r="U20" s="131"/>
      <c r="V20" s="131"/>
      <c r="W20" s="131"/>
      <c r="X20" s="129"/>
      <c r="Y20" s="129"/>
      <c r="Z20" s="129"/>
      <c r="AA20" s="129"/>
      <c r="AB20" s="129"/>
      <c r="AC20" s="129"/>
      <c r="AD20" s="129"/>
      <c r="AE20" s="129"/>
      <c r="AF20" s="127"/>
      <c r="AG20" s="127"/>
      <c r="AH20" s="127"/>
      <c r="AI20" s="127"/>
    </row>
    <row r="21" spans="1:35" s="33" customFormat="1" ht="14.25" customHeight="1">
      <c r="A21" s="344"/>
      <c r="B21" s="334"/>
      <c r="C21" s="136"/>
      <c r="D21" s="443" t="s">
        <v>183</v>
      </c>
      <c r="E21" s="94"/>
      <c r="F21" s="94"/>
      <c r="G21" s="94"/>
      <c r="H21" s="94"/>
      <c r="I21" s="94"/>
      <c r="J21" s="94"/>
      <c r="K21" s="94"/>
      <c r="L21" s="94"/>
      <c r="M21" s="94"/>
      <c r="N21" s="94"/>
      <c r="O21" s="94"/>
      <c r="P21" s="94"/>
      <c r="Q21" s="137"/>
      <c r="R21" s="334"/>
      <c r="S21" s="134"/>
      <c r="T21" s="131"/>
      <c r="U21" s="131"/>
      <c r="V21" s="131"/>
      <c r="W21" s="131"/>
      <c r="X21" s="129"/>
      <c r="Y21" s="129"/>
      <c r="Z21" s="129"/>
      <c r="AA21" s="129"/>
      <c r="AB21" s="129"/>
      <c r="AC21" s="129"/>
      <c r="AD21" s="129"/>
      <c r="AE21" s="129"/>
      <c r="AF21" s="127"/>
      <c r="AG21" s="127"/>
      <c r="AH21" s="127"/>
      <c r="AI21" s="127"/>
    </row>
    <row r="22" spans="1:35" s="28" customFormat="1" ht="15.75" customHeight="1">
      <c r="A22" s="345"/>
      <c r="B22" s="334"/>
      <c r="C22" s="138"/>
      <c r="D22" s="714"/>
      <c r="E22" s="715"/>
      <c r="F22" s="715"/>
      <c r="G22" s="715"/>
      <c r="H22" s="715"/>
      <c r="I22" s="715"/>
      <c r="J22" s="715"/>
      <c r="K22" s="715"/>
      <c r="L22" s="715"/>
      <c r="M22" s="715"/>
      <c r="N22" s="715"/>
      <c r="O22" s="715"/>
      <c r="P22" s="716"/>
      <c r="Q22" s="139"/>
      <c r="R22" s="334"/>
      <c r="S22" s="132" t="s">
        <v>0</v>
      </c>
      <c r="T22" s="131"/>
      <c r="U22" s="131"/>
      <c r="V22" s="131"/>
      <c r="W22" s="131"/>
      <c r="X22" s="64"/>
      <c r="Y22" s="64"/>
      <c r="Z22" s="64"/>
      <c r="AA22" s="64"/>
      <c r="AB22" s="64"/>
      <c r="AC22" s="64"/>
      <c r="AD22" s="64"/>
      <c r="AE22" s="64"/>
      <c r="AF22" s="130"/>
      <c r="AG22" s="130"/>
      <c r="AH22" s="130"/>
      <c r="AI22" s="130"/>
    </row>
    <row r="23" spans="1:35" s="33" customFormat="1" ht="14.25" customHeight="1">
      <c r="A23" s="344"/>
      <c r="B23" s="334"/>
      <c r="C23" s="232"/>
      <c r="D23" s="442" t="s">
        <v>60</v>
      </c>
      <c r="E23" s="159" t="s">
        <v>18</v>
      </c>
      <c r="F23" s="159" t="s">
        <v>19</v>
      </c>
      <c r="G23" s="159"/>
      <c r="H23" s="159"/>
      <c r="I23" s="159"/>
      <c r="J23" s="159"/>
      <c r="K23" s="159"/>
      <c r="L23" s="159"/>
      <c r="M23" s="159"/>
      <c r="N23" s="159"/>
      <c r="O23" s="159"/>
      <c r="P23" s="509" t="s">
        <v>70</v>
      </c>
      <c r="Q23" s="137"/>
      <c r="R23" s="334"/>
      <c r="S23" s="228"/>
      <c r="T23" s="229"/>
      <c r="U23" s="229"/>
      <c r="V23" s="229"/>
      <c r="W23" s="229"/>
      <c r="X23" s="230"/>
      <c r="Y23" s="230"/>
      <c r="Z23" s="230"/>
      <c r="AA23" s="230"/>
      <c r="AB23" s="230"/>
      <c r="AC23" s="230"/>
      <c r="AD23" s="230"/>
      <c r="AE23" s="230"/>
      <c r="AF23" s="127"/>
      <c r="AG23" s="127"/>
      <c r="AH23" s="127"/>
      <c r="AI23" s="127"/>
    </row>
    <row r="24" spans="1:35" s="28" customFormat="1" ht="15.75" customHeight="1">
      <c r="A24" s="345"/>
      <c r="B24" s="334"/>
      <c r="C24" s="518" t="s">
        <v>197</v>
      </c>
      <c r="D24" s="36" t="s">
        <v>0</v>
      </c>
      <c r="E24" s="30" t="s">
        <v>229</v>
      </c>
      <c r="F24" s="71">
        <v>1</v>
      </c>
      <c r="G24" s="72">
        <v>2</v>
      </c>
      <c r="H24" s="73">
        <v>3</v>
      </c>
      <c r="I24" s="74">
        <v>4</v>
      </c>
      <c r="J24" s="75">
        <v>5</v>
      </c>
      <c r="K24" s="76">
        <v>6</v>
      </c>
      <c r="L24" s="77">
        <v>7</v>
      </c>
      <c r="M24" s="78">
        <v>8</v>
      </c>
      <c r="N24" s="79">
        <v>9</v>
      </c>
      <c r="O24" s="80">
        <v>10</v>
      </c>
      <c r="P24" s="508"/>
      <c r="Q24" s="139"/>
      <c r="R24" s="334"/>
      <c r="S24" s="133">
        <f>VLOOKUP($E24,R.VL_DEQResourcesInvolved,2,FALSE)</f>
        <v>0</v>
      </c>
      <c r="T24" s="121">
        <f>VLOOKUP($E24,R.VL_DEQResourcesInvolved,3,FALSE)</f>
        <v>0</v>
      </c>
      <c r="U24" s="121">
        <f>IF(S24=10,T24,VLOOKUP($E24,R.VL_DEQResourcesInvolved,4,FALSE))</f>
        <v>0</v>
      </c>
      <c r="V24" s="121" t="str">
        <f>T24&amp;"-"&amp;U24</f>
        <v>0-0</v>
      </c>
      <c r="W24" s="128"/>
      <c r="X24" s="575" t="s">
        <v>587</v>
      </c>
      <c r="Y24" s="64"/>
      <c r="Z24" s="64"/>
      <c r="AA24" s="64"/>
      <c r="AB24" s="64"/>
      <c r="AC24" s="64"/>
      <c r="AD24" s="64"/>
      <c r="AE24" s="64"/>
      <c r="AF24" s="130"/>
      <c r="AG24" s="130"/>
      <c r="AH24" s="130"/>
      <c r="AI24" s="130"/>
    </row>
    <row r="25" spans="1:35" s="28" customFormat="1" ht="15.75" customHeight="1">
      <c r="A25" s="345"/>
      <c r="B25" s="334"/>
      <c r="C25" s="518" t="s">
        <v>200</v>
      </c>
      <c r="D25" s="36"/>
      <c r="E25" s="30" t="s">
        <v>229</v>
      </c>
      <c r="F25" s="71">
        <v>1</v>
      </c>
      <c r="G25" s="72">
        <v>2</v>
      </c>
      <c r="H25" s="73">
        <v>3</v>
      </c>
      <c r="I25" s="74">
        <v>4</v>
      </c>
      <c r="J25" s="75">
        <v>5</v>
      </c>
      <c r="K25" s="76">
        <v>6</v>
      </c>
      <c r="L25" s="77">
        <v>7</v>
      </c>
      <c r="M25" s="78">
        <v>8</v>
      </c>
      <c r="N25" s="79">
        <v>9</v>
      </c>
      <c r="O25" s="80">
        <v>10</v>
      </c>
      <c r="P25" s="508"/>
      <c r="Q25" s="139"/>
      <c r="R25" s="334"/>
      <c r="S25" s="135">
        <f>VLOOKUP($E25,R.VL_DEQResourcesInvolved,2,FALSE)</f>
        <v>0</v>
      </c>
      <c r="T25" s="121">
        <f>VLOOKUP($E25,R.VL_DEQResourcesInvolved,3,FALSE)</f>
        <v>0</v>
      </c>
      <c r="U25" s="121">
        <f>IF(S25=10,T25,VLOOKUP($E25,R.VL_DEQResourcesInvolved,4,FALSE))</f>
        <v>0</v>
      </c>
      <c r="V25" s="121" t="str">
        <f>T25&amp;"-"&amp;U25</f>
        <v>0-0</v>
      </c>
      <c r="W25" s="128"/>
      <c r="X25" s="575" t="s">
        <v>587</v>
      </c>
      <c r="Y25" s="64"/>
      <c r="Z25" s="64"/>
      <c r="AA25" s="64"/>
      <c r="AB25" s="64"/>
      <c r="AC25" s="64"/>
      <c r="AD25" s="64"/>
      <c r="AE25" s="64"/>
      <c r="AF25" s="130"/>
      <c r="AG25" s="130"/>
      <c r="AH25" s="130"/>
      <c r="AI25" s="130"/>
    </row>
    <row r="26" spans="1:35" s="28" customFormat="1" ht="15" customHeight="1">
      <c r="A26" s="345"/>
      <c r="B26" s="334"/>
      <c r="C26" s="518" t="s">
        <v>201</v>
      </c>
      <c r="D26" s="36" t="s">
        <v>0</v>
      </c>
      <c r="E26" s="30" t="s">
        <v>229</v>
      </c>
      <c r="F26" s="71">
        <v>1</v>
      </c>
      <c r="G26" s="72">
        <v>2</v>
      </c>
      <c r="H26" s="73">
        <v>3</v>
      </c>
      <c r="I26" s="74">
        <v>4</v>
      </c>
      <c r="J26" s="75">
        <v>5</v>
      </c>
      <c r="K26" s="76">
        <v>6</v>
      </c>
      <c r="L26" s="77">
        <v>7</v>
      </c>
      <c r="M26" s="78">
        <v>8</v>
      </c>
      <c r="N26" s="79">
        <v>9</v>
      </c>
      <c r="O26" s="80">
        <v>10</v>
      </c>
      <c r="P26" s="508"/>
      <c r="Q26" s="139"/>
      <c r="R26" s="334"/>
      <c r="S26" s="135">
        <f>VLOOKUP($E26,R.VL_DEQResourcesInvolved,2,FALSE)</f>
        <v>0</v>
      </c>
      <c r="T26" s="121">
        <f>VLOOKUP($E26,R.VL_DEQResourcesInvolved,3,FALSE)</f>
        <v>0</v>
      </c>
      <c r="U26" s="121">
        <f>IF(S26=10,T26,VLOOKUP($E26,R.VL_DEQResourcesInvolved,4,FALSE))</f>
        <v>0</v>
      </c>
      <c r="V26" s="121" t="str">
        <f>T26&amp;"-"&amp;U26</f>
        <v>0-0</v>
      </c>
      <c r="W26" s="128"/>
      <c r="X26" s="575" t="s">
        <v>587</v>
      </c>
      <c r="Y26" s="64"/>
      <c r="Z26" s="64"/>
      <c r="AA26" s="64"/>
      <c r="AB26" s="64"/>
      <c r="AC26" s="64"/>
      <c r="AD26" s="64"/>
      <c r="AE26" s="64"/>
      <c r="AF26" s="130"/>
      <c r="AG26" s="130"/>
      <c r="AH26" s="130"/>
      <c r="AI26" s="130"/>
    </row>
    <row r="27" spans="1:35" s="28" customFormat="1" ht="15.75" customHeight="1">
      <c r="A27" s="345"/>
      <c r="B27" s="334"/>
      <c r="C27" s="518" t="s">
        <v>181</v>
      </c>
      <c r="D27" s="36" t="s">
        <v>0</v>
      </c>
      <c r="E27" s="30" t="s">
        <v>229</v>
      </c>
      <c r="F27" s="71">
        <v>1</v>
      </c>
      <c r="G27" s="72">
        <v>2</v>
      </c>
      <c r="H27" s="73">
        <v>3</v>
      </c>
      <c r="I27" s="74">
        <v>4</v>
      </c>
      <c r="J27" s="75">
        <v>5</v>
      </c>
      <c r="K27" s="76">
        <v>6</v>
      </c>
      <c r="L27" s="77">
        <v>7</v>
      </c>
      <c r="M27" s="78">
        <v>8</v>
      </c>
      <c r="N27" s="79">
        <v>9</v>
      </c>
      <c r="O27" s="80">
        <v>10</v>
      </c>
      <c r="P27" s="508"/>
      <c r="Q27" s="139"/>
      <c r="R27" s="334"/>
      <c r="S27" s="135">
        <f>VLOOKUP($E27,R.VL_DEQResourcesInvolved,2,FALSE)</f>
        <v>0</v>
      </c>
      <c r="T27" s="121">
        <f>VLOOKUP($E27,R.VL_DEQResourcesInvolved,3,FALSE)</f>
        <v>0</v>
      </c>
      <c r="U27" s="121">
        <f>IF(S27=10,T27,VLOOKUP($E27,R.VL_DEQResourcesInvolved,4,FALSE))</f>
        <v>0</v>
      </c>
      <c r="V27" s="121" t="str">
        <f>T27&amp;"-"&amp;U27</f>
        <v>0-0</v>
      </c>
      <c r="W27" s="128"/>
      <c r="X27" s="575" t="s">
        <v>587</v>
      </c>
      <c r="Y27" s="64"/>
      <c r="Z27" s="64"/>
      <c r="AA27" s="64"/>
      <c r="AB27" s="64"/>
      <c r="AC27" s="64"/>
      <c r="AD27" s="64"/>
      <c r="AE27" s="64"/>
      <c r="AF27" s="130"/>
      <c r="AG27" s="130"/>
      <c r="AH27" s="130"/>
      <c r="AI27" s="130"/>
    </row>
    <row r="28" spans="1:35" s="28" customFormat="1" ht="14.25" customHeight="1">
      <c r="A28" s="345"/>
      <c r="B28" s="334"/>
      <c r="C28" s="376"/>
      <c r="D28" s="377"/>
      <c r="E28" s="378"/>
      <c r="F28" s="378"/>
      <c r="G28" s="378"/>
      <c r="H28" s="378"/>
      <c r="I28" s="378"/>
      <c r="J28" s="378"/>
      <c r="K28" s="378"/>
      <c r="L28" s="378"/>
      <c r="M28" s="378"/>
      <c r="N28" s="378"/>
      <c r="O28" s="378"/>
      <c r="P28" s="378"/>
      <c r="Q28" s="379"/>
      <c r="R28" s="334"/>
      <c r="S28" s="132"/>
      <c r="T28" s="131"/>
      <c r="U28" s="131"/>
      <c r="V28" s="121" t="str">
        <f>SUM(T23:T27)&amp;"-"&amp;SUM(U23:U27)</f>
        <v>0-0</v>
      </c>
      <c r="W28" s="131"/>
      <c r="X28" s="64"/>
      <c r="Y28" s="64"/>
      <c r="Z28" s="64"/>
      <c r="AA28" s="64"/>
      <c r="AB28" s="64"/>
      <c r="AC28" s="64"/>
      <c r="AD28" s="64"/>
      <c r="AE28" s="64"/>
      <c r="AF28" s="130"/>
      <c r="AG28" s="130"/>
      <c r="AH28" s="130"/>
      <c r="AI28" s="130"/>
    </row>
    <row r="29" spans="1:35" s="29" customFormat="1" ht="30" customHeight="1">
      <c r="A29" s="344"/>
      <c r="B29" s="334"/>
      <c r="C29" s="146"/>
      <c r="D29" s="644" t="str">
        <f>"Please suggest process improvements to the "&amp;D2&amp;" worksheet."</f>
        <v>Please suggest process improvements to the Interested Staff and EQC worksheet.</v>
      </c>
      <c r="E29" s="644"/>
      <c r="F29" s="84"/>
      <c r="G29" s="85"/>
      <c r="H29" s="86"/>
      <c r="I29" s="87"/>
      <c r="J29" s="88"/>
      <c r="K29" s="89"/>
      <c r="L29" s="90"/>
      <c r="M29" s="91"/>
      <c r="N29" s="92"/>
      <c r="O29" s="93"/>
      <c r="P29" s="39"/>
      <c r="Q29" s="147"/>
      <c r="R29" s="334"/>
      <c r="S29" s="134"/>
      <c r="T29" s="131"/>
      <c r="U29" s="131"/>
      <c r="V29" s="131"/>
      <c r="W29" s="131"/>
      <c r="X29" s="64"/>
      <c r="Y29" s="64"/>
      <c r="Z29" s="64"/>
      <c r="AA29" s="64"/>
      <c r="AB29" s="64"/>
      <c r="AC29" s="64"/>
      <c r="AD29" s="64"/>
      <c r="AE29" s="64"/>
      <c r="AF29" s="65"/>
      <c r="AG29" s="65"/>
      <c r="AH29" s="65"/>
      <c r="AI29" s="65"/>
    </row>
    <row r="30" spans="1:35" s="6" customFormat="1" ht="30.75" customHeight="1">
      <c r="A30" s="351"/>
      <c r="B30" s="334"/>
      <c r="C30" s="136"/>
      <c r="D30" s="641"/>
      <c r="E30" s="642"/>
      <c r="F30" s="642"/>
      <c r="G30" s="642"/>
      <c r="H30" s="642"/>
      <c r="I30" s="642"/>
      <c r="J30" s="642"/>
      <c r="K30" s="642"/>
      <c r="L30" s="642"/>
      <c r="M30" s="642"/>
      <c r="N30" s="642"/>
      <c r="O30" s="642"/>
      <c r="P30" s="643"/>
      <c r="Q30" s="148"/>
      <c r="R30" s="334"/>
      <c r="S30" s="132"/>
      <c r="T30" s="131"/>
      <c r="U30" s="131"/>
      <c r="V30" s="131"/>
      <c r="W30" s="131"/>
      <c r="X30" s="64"/>
      <c r="Y30" s="64"/>
      <c r="Z30" s="64"/>
      <c r="AA30" s="64"/>
      <c r="AB30" s="64"/>
      <c r="AC30" s="64"/>
      <c r="AD30" s="64"/>
      <c r="AE30" s="64"/>
      <c r="AF30" s="66"/>
      <c r="AG30" s="66"/>
      <c r="AH30" s="66"/>
      <c r="AI30" s="66"/>
    </row>
    <row r="31" spans="1:35" ht="18" customHeight="1">
      <c r="A31" s="350" t="s">
        <v>108</v>
      </c>
      <c r="B31" s="334"/>
      <c r="C31" s="149"/>
      <c r="D31" s="150"/>
      <c r="E31" s="150"/>
      <c r="F31" s="150"/>
      <c r="G31" s="150"/>
      <c r="H31" s="150"/>
      <c r="I31" s="150"/>
      <c r="J31" s="150"/>
      <c r="K31" s="150"/>
      <c r="L31" s="150"/>
      <c r="M31" s="150"/>
      <c r="N31" s="150"/>
      <c r="O31" s="150"/>
      <c r="P31" s="150"/>
      <c r="Q31" s="151"/>
      <c r="R31" s="334"/>
    </row>
    <row r="32" spans="1:35" s="64" customFormat="1" ht="15.75" customHeight="1">
      <c r="A32" s="337"/>
      <c r="B32" s="334"/>
      <c r="C32" s="334"/>
      <c r="D32" s="334"/>
      <c r="E32" s="334"/>
      <c r="F32" s="334"/>
      <c r="G32" s="334"/>
      <c r="H32" s="334"/>
      <c r="I32" s="334"/>
      <c r="J32" s="334"/>
      <c r="K32" s="334"/>
      <c r="L32" s="334"/>
      <c r="M32" s="334"/>
      <c r="N32" s="334"/>
      <c r="O32" s="334"/>
      <c r="P32" s="334"/>
      <c r="Q32" s="334"/>
      <c r="R32" s="334"/>
      <c r="S32" s="113"/>
      <c r="V32" s="436"/>
      <c r="W32" s="436"/>
    </row>
    <row r="33" spans="1:23" s="64" customFormat="1" ht="60" customHeight="1">
      <c r="A33" s="337"/>
      <c r="C33" s="112"/>
      <c r="S33" s="113"/>
      <c r="V33" s="436"/>
      <c r="W33" s="436"/>
    </row>
    <row r="34" spans="1:23" s="64" customFormat="1" ht="60" customHeight="1">
      <c r="A34" s="337"/>
      <c r="C34" s="112"/>
      <c r="S34" s="113"/>
      <c r="V34" s="436"/>
      <c r="W34" s="436"/>
    </row>
    <row r="35" spans="1:23" s="64" customFormat="1" ht="60" customHeight="1">
      <c r="A35" s="337"/>
      <c r="C35" s="112"/>
      <c r="S35" s="113"/>
      <c r="V35" s="436"/>
      <c r="W35" s="436"/>
    </row>
    <row r="36" spans="1:23" s="64" customFormat="1" ht="60" customHeight="1">
      <c r="A36" s="337"/>
      <c r="C36" s="112"/>
      <c r="S36" s="113"/>
      <c r="V36" s="436"/>
      <c r="W36" s="436"/>
    </row>
    <row r="37" spans="1:23" s="64" customFormat="1" ht="60" customHeight="1">
      <c r="A37" s="337"/>
      <c r="C37" s="112"/>
      <c r="S37" s="113"/>
      <c r="V37" s="436"/>
      <c r="W37" s="436"/>
    </row>
    <row r="38" spans="1:23" s="64" customFormat="1" ht="60" customHeight="1">
      <c r="A38" s="337"/>
      <c r="C38" s="112"/>
      <c r="S38" s="113"/>
      <c r="V38" s="436"/>
      <c r="W38" s="436"/>
    </row>
    <row r="39" spans="1:23" s="64" customFormat="1" ht="60" customHeight="1">
      <c r="A39" s="337"/>
      <c r="C39" s="112"/>
      <c r="S39" s="113"/>
      <c r="V39" s="436"/>
      <c r="W39" s="436"/>
    </row>
    <row r="40" spans="1:23" s="64" customFormat="1" ht="60" customHeight="1">
      <c r="A40" s="337"/>
      <c r="C40" s="112"/>
      <c r="S40" s="113"/>
      <c r="V40" s="436"/>
      <c r="W40" s="436"/>
    </row>
    <row r="41" spans="1:23" s="64" customFormat="1" ht="60" customHeight="1">
      <c r="A41" s="337"/>
      <c r="C41" s="112"/>
      <c r="S41" s="113"/>
      <c r="V41" s="436"/>
      <c r="W41" s="436"/>
    </row>
    <row r="42" spans="1:23" s="64" customFormat="1" ht="60" customHeight="1">
      <c r="A42" s="337"/>
      <c r="C42" s="112"/>
      <c r="S42" s="113"/>
      <c r="V42" s="436"/>
      <c r="W42" s="436"/>
    </row>
    <row r="43" spans="1:23" s="64" customFormat="1" ht="60" customHeight="1">
      <c r="A43" s="337"/>
      <c r="C43" s="112"/>
      <c r="S43" s="113"/>
      <c r="V43" s="436"/>
      <c r="W43" s="436"/>
    </row>
    <row r="44" spans="1:23" s="64" customFormat="1" ht="60" customHeight="1">
      <c r="A44" s="337"/>
      <c r="C44" s="112"/>
      <c r="S44" s="113"/>
      <c r="V44" s="436"/>
      <c r="W44" s="436"/>
    </row>
    <row r="45" spans="1:23" s="64" customFormat="1" ht="60" customHeight="1">
      <c r="A45" s="337"/>
      <c r="C45" s="112"/>
      <c r="S45" s="113"/>
      <c r="V45" s="436"/>
      <c r="W45" s="436"/>
    </row>
    <row r="46" spans="1:23" s="64" customFormat="1" ht="60" customHeight="1">
      <c r="A46" s="337"/>
      <c r="C46" s="112"/>
      <c r="S46" s="113"/>
      <c r="V46" s="436"/>
      <c r="W46" s="436"/>
    </row>
    <row r="47" spans="1:23" s="64" customFormat="1" ht="60" customHeight="1">
      <c r="A47" s="337"/>
      <c r="C47" s="112"/>
      <c r="S47" s="113"/>
      <c r="V47" s="436"/>
      <c r="W47" s="436"/>
    </row>
    <row r="48" spans="1:23" s="64" customFormat="1" ht="60" customHeight="1">
      <c r="A48" s="337"/>
      <c r="C48" s="112"/>
      <c r="S48" s="113"/>
      <c r="V48" s="436"/>
      <c r="W48" s="436"/>
    </row>
    <row r="49" spans="1:23" s="64" customFormat="1" ht="60" customHeight="1">
      <c r="A49" s="337"/>
      <c r="C49" s="112"/>
      <c r="S49" s="113"/>
      <c r="V49" s="436"/>
      <c r="W49" s="436"/>
    </row>
    <row r="50" spans="1:23" s="64" customFormat="1" ht="60" customHeight="1">
      <c r="A50" s="337"/>
      <c r="C50" s="112"/>
      <c r="S50" s="113"/>
      <c r="V50" s="436"/>
      <c r="W50" s="436"/>
    </row>
    <row r="51" spans="1:23" s="64" customFormat="1" ht="60" customHeight="1">
      <c r="A51" s="337"/>
      <c r="C51" s="112"/>
      <c r="S51" s="113"/>
      <c r="V51" s="436"/>
      <c r="W51" s="436"/>
    </row>
    <row r="52" spans="1:23" s="64" customFormat="1" ht="60" customHeight="1">
      <c r="A52" s="337"/>
      <c r="C52" s="112"/>
      <c r="S52" s="113"/>
      <c r="V52" s="436"/>
      <c r="W52" s="436"/>
    </row>
    <row r="53" spans="1:23" s="64" customFormat="1" ht="60" customHeight="1">
      <c r="A53" s="337"/>
      <c r="C53" s="112"/>
      <c r="S53" s="113"/>
      <c r="V53" s="436"/>
      <c r="W53" s="436"/>
    </row>
    <row r="54" spans="1:23" s="64" customFormat="1" ht="60" customHeight="1">
      <c r="A54" s="337"/>
      <c r="C54" s="112"/>
      <c r="S54" s="113"/>
      <c r="V54" s="436"/>
      <c r="W54" s="436"/>
    </row>
    <row r="55" spans="1:23" s="64" customFormat="1" ht="60" customHeight="1">
      <c r="A55" s="337"/>
      <c r="C55" s="112"/>
      <c r="S55" s="113"/>
      <c r="V55" s="436"/>
      <c r="W55" s="436"/>
    </row>
    <row r="56" spans="1:23" s="64" customFormat="1" ht="60" customHeight="1">
      <c r="A56" s="337"/>
      <c r="C56" s="112"/>
      <c r="S56" s="113"/>
      <c r="V56" s="436"/>
      <c r="W56" s="436"/>
    </row>
    <row r="57" spans="1:23" s="64" customFormat="1" ht="60" customHeight="1">
      <c r="A57" s="337"/>
      <c r="C57" s="112"/>
      <c r="S57" s="113"/>
      <c r="V57" s="436"/>
      <c r="W57" s="436"/>
    </row>
    <row r="58" spans="1:23" s="64" customFormat="1" ht="60" customHeight="1">
      <c r="A58" s="337"/>
      <c r="C58" s="112"/>
      <c r="S58" s="113"/>
      <c r="V58" s="436"/>
      <c r="W58" s="436"/>
    </row>
    <row r="59" spans="1:23" s="64" customFormat="1" ht="60" customHeight="1">
      <c r="A59" s="337"/>
      <c r="C59" s="112"/>
      <c r="S59" s="113"/>
      <c r="V59" s="436"/>
      <c r="W59" s="436"/>
    </row>
    <row r="60" spans="1:23" s="64" customFormat="1" ht="60" customHeight="1">
      <c r="A60" s="337"/>
      <c r="C60" s="112"/>
      <c r="S60" s="113"/>
      <c r="V60" s="436"/>
      <c r="W60" s="436"/>
    </row>
    <row r="61" spans="1:23" s="64" customFormat="1" ht="60" customHeight="1">
      <c r="A61" s="337"/>
      <c r="C61" s="112"/>
      <c r="S61" s="113"/>
      <c r="V61" s="436"/>
      <c r="W61" s="436"/>
    </row>
    <row r="62" spans="1:23" s="64" customFormat="1">
      <c r="A62" s="337"/>
      <c r="C62" s="112"/>
      <c r="S62" s="113"/>
      <c r="V62" s="436"/>
      <c r="W62" s="436"/>
    </row>
    <row r="63" spans="1:23" s="64" customFormat="1">
      <c r="A63" s="337"/>
      <c r="C63" s="112"/>
      <c r="S63" s="113"/>
      <c r="V63" s="436"/>
      <c r="W63" s="436"/>
    </row>
  </sheetData>
  <sheetProtection sheet="1" scenarios="1" formatCells="0" formatRows="0" insertHyperlinks="0"/>
  <mergeCells count="12">
    <mergeCell ref="E2:P2"/>
    <mergeCell ref="M3:P3"/>
    <mergeCell ref="F4:L4"/>
    <mergeCell ref="M4:P4"/>
    <mergeCell ref="F5:L5"/>
    <mergeCell ref="M5:P5"/>
    <mergeCell ref="D30:P30"/>
    <mergeCell ref="D7:P7"/>
    <mergeCell ref="D29:E29"/>
    <mergeCell ref="S7:U7"/>
    <mergeCell ref="D11:P11"/>
    <mergeCell ref="D22:P22"/>
  </mergeCells>
  <conditionalFormatting sqref="F29:O29 F31:O31 F24:O27 F20:O20 F13:O18">
    <cfRule type="colorScale" priority="66">
      <colorScale>
        <cfvo type="num" val="0"/>
        <cfvo type="num" val="5"/>
        <cfvo type="num" val="10"/>
        <color rgb="FF00B050"/>
        <color rgb="FFFFFF00"/>
        <color rgb="FFFF0000"/>
      </colorScale>
    </cfRule>
  </conditionalFormatting>
  <conditionalFormatting sqref="N29 N31 N20">
    <cfRule type="expression" dxfId="2607" priority="65" stopIfTrue="1">
      <formula>IF($S20&lt;9,TRUE,)</formula>
    </cfRule>
  </conditionalFormatting>
  <conditionalFormatting sqref="M29 M31 M20">
    <cfRule type="expression" dxfId="2606" priority="64" stopIfTrue="1">
      <formula>IF($S20&lt;8,TRUE,)</formula>
    </cfRule>
  </conditionalFormatting>
  <conditionalFormatting sqref="L29 L31 L20">
    <cfRule type="expression" dxfId="2605" priority="63" stopIfTrue="1">
      <formula>IF($S20&lt;7,TRUE,)</formula>
    </cfRule>
  </conditionalFormatting>
  <conditionalFormatting sqref="K29 K31 K20">
    <cfRule type="expression" dxfId="2604" priority="62" stopIfTrue="1">
      <formula>IF($S20&lt;6,TRUE,)</formula>
    </cfRule>
  </conditionalFormatting>
  <conditionalFormatting sqref="J29 J31 J20">
    <cfRule type="expression" dxfId="2603" priority="61" stopIfTrue="1">
      <formula>IF($S20&lt;5,TRUE,)</formula>
    </cfRule>
  </conditionalFormatting>
  <conditionalFormatting sqref="I29 I31 I20">
    <cfRule type="expression" dxfId="2602" priority="60" stopIfTrue="1">
      <formula>IF($S20&lt;4,TRUE,)</formula>
    </cfRule>
  </conditionalFormatting>
  <conditionalFormatting sqref="H29 H31 H20">
    <cfRule type="expression" dxfId="2601" priority="59" stopIfTrue="1">
      <formula>IF($S20&lt;3,TRUE,)</formula>
    </cfRule>
  </conditionalFormatting>
  <conditionalFormatting sqref="G29 G31 G20">
    <cfRule type="expression" dxfId="2600" priority="58" stopIfTrue="1">
      <formula>IF($S20&lt;2,TRUE,)</formula>
    </cfRule>
  </conditionalFormatting>
  <conditionalFormatting sqref="F29 F31 F20">
    <cfRule type="expression" dxfId="2599" priority="57" stopIfTrue="1">
      <formula>IF($S20&lt;1,TRUE,)</formula>
    </cfRule>
  </conditionalFormatting>
  <conditionalFormatting sqref="O29 O31 O20">
    <cfRule type="expression" dxfId="2598" priority="56" stopIfTrue="1">
      <formula>IF($S20&lt;10,TRUE,)</formula>
    </cfRule>
  </conditionalFormatting>
  <conditionalFormatting sqref="N13:N18">
    <cfRule type="expression" dxfId="2597" priority="54" stopIfTrue="1">
      <formula>IF($S13&lt;9,TRUE,)</formula>
    </cfRule>
  </conditionalFormatting>
  <conditionalFormatting sqref="M13:M18">
    <cfRule type="expression" dxfId="2596" priority="53" stopIfTrue="1">
      <formula>IF($S13&lt;8,TRUE,)</formula>
    </cfRule>
  </conditionalFormatting>
  <conditionalFormatting sqref="L13:L18">
    <cfRule type="expression" dxfId="2595" priority="52" stopIfTrue="1">
      <formula>IF($S13&lt;7,TRUE,)</formula>
    </cfRule>
  </conditionalFormatting>
  <conditionalFormatting sqref="K13:K18">
    <cfRule type="expression" dxfId="2594" priority="51" stopIfTrue="1">
      <formula>IF($S13&lt;6,TRUE,)</formula>
    </cfRule>
  </conditionalFormatting>
  <conditionalFormatting sqref="J13:J18">
    <cfRule type="expression" dxfId="2593" priority="50" stopIfTrue="1">
      <formula>IF($S13&lt;5,TRUE,)</formula>
    </cfRule>
  </conditionalFormatting>
  <conditionalFormatting sqref="I13:I18">
    <cfRule type="expression" dxfId="2592" priority="49" stopIfTrue="1">
      <formula>IF($S13&lt;4,TRUE,)</formula>
    </cfRule>
  </conditionalFormatting>
  <conditionalFormatting sqref="H13:H18">
    <cfRule type="expression" dxfId="2591" priority="48" stopIfTrue="1">
      <formula>IF($S13&lt;3,TRUE,)</formula>
    </cfRule>
  </conditionalFormatting>
  <conditionalFormatting sqref="G13:G18">
    <cfRule type="expression" dxfId="2590" priority="47" stopIfTrue="1">
      <formula>IF($S13&lt;2,TRUE,)</formula>
    </cfRule>
  </conditionalFormatting>
  <conditionalFormatting sqref="F13:F18">
    <cfRule type="expression" dxfId="2589" priority="46" stopIfTrue="1">
      <formula>IF($S13&lt;1,TRUE,)</formula>
    </cfRule>
  </conditionalFormatting>
  <conditionalFormatting sqref="O13:O18">
    <cfRule type="expression" dxfId="2588" priority="45" stopIfTrue="1">
      <formula>IF($S13&lt;10,TRUE,)</formula>
    </cfRule>
  </conditionalFormatting>
  <conditionalFormatting sqref="N24">
    <cfRule type="expression" dxfId="2587" priority="43" stopIfTrue="1">
      <formula>IF($S24&lt;9,TRUE,)</formula>
    </cfRule>
  </conditionalFormatting>
  <conditionalFormatting sqref="M24">
    <cfRule type="expression" dxfId="2586" priority="42" stopIfTrue="1">
      <formula>IF($S24&lt;8,TRUE,)</formula>
    </cfRule>
  </conditionalFormatting>
  <conditionalFormatting sqref="L24">
    <cfRule type="expression" dxfId="2585" priority="41" stopIfTrue="1">
      <formula>IF($S24&lt;7,TRUE,)</formula>
    </cfRule>
  </conditionalFormatting>
  <conditionalFormatting sqref="K24">
    <cfRule type="expression" dxfId="2584" priority="40" stopIfTrue="1">
      <formula>IF($S24&lt;6,TRUE,)</formula>
    </cfRule>
  </conditionalFormatting>
  <conditionalFormatting sqref="J24">
    <cfRule type="expression" dxfId="2583" priority="39" stopIfTrue="1">
      <formula>IF($S24&lt;5,TRUE,)</formula>
    </cfRule>
  </conditionalFormatting>
  <conditionalFormatting sqref="I24">
    <cfRule type="expression" dxfId="2582" priority="38" stopIfTrue="1">
      <formula>IF($S24&lt;4,TRUE,)</formula>
    </cfRule>
  </conditionalFormatting>
  <conditionalFormatting sqref="H24">
    <cfRule type="expression" dxfId="2581" priority="37" stopIfTrue="1">
      <formula>IF($S24&lt;3,TRUE,)</formula>
    </cfRule>
  </conditionalFormatting>
  <conditionalFormatting sqref="G24">
    <cfRule type="expression" dxfId="2580" priority="36" stopIfTrue="1">
      <formula>IF($S24&lt;2,TRUE,)</formula>
    </cfRule>
  </conditionalFormatting>
  <conditionalFormatting sqref="F24">
    <cfRule type="expression" dxfId="2579" priority="35" stopIfTrue="1">
      <formula>IF($S24&lt;1,TRUE,)</formula>
    </cfRule>
  </conditionalFormatting>
  <conditionalFormatting sqref="O24">
    <cfRule type="expression" dxfId="2578" priority="34" stopIfTrue="1">
      <formula>IF($S24&lt;10,TRUE,)</formula>
    </cfRule>
  </conditionalFormatting>
  <conditionalFormatting sqref="N25">
    <cfRule type="expression" dxfId="2577" priority="32" stopIfTrue="1">
      <formula>IF($S25&lt;9,TRUE,)</formula>
    </cfRule>
  </conditionalFormatting>
  <conditionalFormatting sqref="M25">
    <cfRule type="expression" dxfId="2576" priority="31" stopIfTrue="1">
      <formula>IF($S25&lt;8,TRUE,)</formula>
    </cfRule>
  </conditionalFormatting>
  <conditionalFormatting sqref="L25">
    <cfRule type="expression" dxfId="2575" priority="30" stopIfTrue="1">
      <formula>IF($S25&lt;7,TRUE,)</formula>
    </cfRule>
  </conditionalFormatting>
  <conditionalFormatting sqref="K25">
    <cfRule type="expression" dxfId="2574" priority="29" stopIfTrue="1">
      <formula>IF($S25&lt;6,TRUE,)</formula>
    </cfRule>
  </conditionalFormatting>
  <conditionalFormatting sqref="J25">
    <cfRule type="expression" dxfId="2573" priority="28" stopIfTrue="1">
      <formula>IF($S25&lt;5,TRUE,)</formula>
    </cfRule>
  </conditionalFormatting>
  <conditionalFormatting sqref="I25">
    <cfRule type="expression" dxfId="2572" priority="27" stopIfTrue="1">
      <formula>IF($S25&lt;4,TRUE,)</formula>
    </cfRule>
  </conditionalFormatting>
  <conditionalFormatting sqref="H25">
    <cfRule type="expression" dxfId="2571" priority="26" stopIfTrue="1">
      <formula>IF($S25&lt;3,TRUE,)</formula>
    </cfRule>
  </conditionalFormatting>
  <conditionalFormatting sqref="G25">
    <cfRule type="expression" dxfId="2570" priority="25" stopIfTrue="1">
      <formula>IF($S25&lt;2,TRUE,)</formula>
    </cfRule>
  </conditionalFormatting>
  <conditionalFormatting sqref="F25">
    <cfRule type="expression" dxfId="2569" priority="24" stopIfTrue="1">
      <formula>IF($S25&lt;1,TRUE,)</formula>
    </cfRule>
  </conditionalFormatting>
  <conditionalFormatting sqref="O25">
    <cfRule type="expression" dxfId="2568" priority="23" stopIfTrue="1">
      <formula>IF($S25&lt;10,TRUE,)</formula>
    </cfRule>
  </conditionalFormatting>
  <conditionalFormatting sqref="N26">
    <cfRule type="expression" dxfId="2567" priority="21" stopIfTrue="1">
      <formula>IF($S26&lt;9,TRUE,)</formula>
    </cfRule>
  </conditionalFormatting>
  <conditionalFormatting sqref="M26">
    <cfRule type="expression" dxfId="2566" priority="20" stopIfTrue="1">
      <formula>IF($S26&lt;8,TRUE,)</formula>
    </cfRule>
  </conditionalFormatting>
  <conditionalFormatting sqref="L26">
    <cfRule type="expression" dxfId="2565" priority="19" stopIfTrue="1">
      <formula>IF($S26&lt;7,TRUE,)</formula>
    </cfRule>
  </conditionalFormatting>
  <conditionalFormatting sqref="K26">
    <cfRule type="expression" dxfId="2564" priority="18" stopIfTrue="1">
      <formula>IF($S26&lt;6,TRUE,)</formula>
    </cfRule>
  </conditionalFormatting>
  <conditionalFormatting sqref="J26">
    <cfRule type="expression" dxfId="2563" priority="17" stopIfTrue="1">
      <formula>IF($S26&lt;5,TRUE,)</formula>
    </cfRule>
  </conditionalFormatting>
  <conditionalFormatting sqref="I26">
    <cfRule type="expression" dxfId="2562" priority="16" stopIfTrue="1">
      <formula>IF($S26&lt;4,TRUE,)</formula>
    </cfRule>
  </conditionalFormatting>
  <conditionalFormatting sqref="H26">
    <cfRule type="expression" dxfId="2561" priority="15" stopIfTrue="1">
      <formula>IF($S26&lt;3,TRUE,)</formula>
    </cfRule>
  </conditionalFormatting>
  <conditionalFormatting sqref="G26">
    <cfRule type="expression" dxfId="2560" priority="14" stopIfTrue="1">
      <formula>IF($S26&lt;2,TRUE,)</formula>
    </cfRule>
  </conditionalFormatting>
  <conditionalFormatting sqref="F26">
    <cfRule type="expression" dxfId="2559" priority="13" stopIfTrue="1">
      <formula>IF($S26&lt;1,TRUE,)</formula>
    </cfRule>
  </conditionalFormatting>
  <conditionalFormatting sqref="O26">
    <cfRule type="expression" dxfId="2558" priority="12" stopIfTrue="1">
      <formula>IF($S26&lt;10,TRUE,)</formula>
    </cfRule>
  </conditionalFormatting>
  <conditionalFormatting sqref="N27">
    <cfRule type="expression" dxfId="2557" priority="10" stopIfTrue="1">
      <formula>IF($S27&lt;9,TRUE,)</formula>
    </cfRule>
  </conditionalFormatting>
  <conditionalFormatting sqref="M27">
    <cfRule type="expression" dxfId="2556" priority="9" stopIfTrue="1">
      <formula>IF($S27&lt;8,TRUE,)</formula>
    </cfRule>
  </conditionalFormatting>
  <conditionalFormatting sqref="L27">
    <cfRule type="expression" dxfId="2555" priority="8" stopIfTrue="1">
      <formula>IF($S27&lt;7,TRUE,)</formula>
    </cfRule>
  </conditionalFormatting>
  <conditionalFormatting sqref="K27">
    <cfRule type="expression" dxfId="2554" priority="7" stopIfTrue="1">
      <formula>IF($S27&lt;6,TRUE,)</formula>
    </cfRule>
  </conditionalFormatting>
  <conditionalFormatting sqref="J27">
    <cfRule type="expression" dxfId="2553" priority="6" stopIfTrue="1">
      <formula>IF($S27&lt;5,TRUE,)</formula>
    </cfRule>
  </conditionalFormatting>
  <conditionalFormatting sqref="I27">
    <cfRule type="expression" dxfId="2552" priority="5" stopIfTrue="1">
      <formula>IF($S27&lt;4,TRUE,)</formula>
    </cfRule>
  </conditionalFormatting>
  <conditionalFormatting sqref="H27">
    <cfRule type="expression" dxfId="2551" priority="4" stopIfTrue="1">
      <formula>IF($S27&lt;3,TRUE,)</formula>
    </cfRule>
  </conditionalFormatting>
  <conditionalFormatting sqref="G27">
    <cfRule type="expression" dxfId="2550" priority="3" stopIfTrue="1">
      <formula>IF($S27&lt;2,TRUE,)</formula>
    </cfRule>
  </conditionalFormatting>
  <conditionalFormatting sqref="F27">
    <cfRule type="expression" dxfId="2549" priority="2" stopIfTrue="1">
      <formula>IF($S27&lt;1,TRUE,)</formula>
    </cfRule>
  </conditionalFormatting>
  <conditionalFormatting sqref="O27">
    <cfRule type="expression" dxfId="2548" priority="1" stopIfTrue="1">
      <formula>IF($S27&lt;10,TRUE,)</formula>
    </cfRule>
  </conditionalFormatting>
  <dataValidations xWindow="1030" yWindow="450" count="9">
    <dataValidation allowBlank="1" showInputMessage="1" showErrorMessage="1" promptTitle="ENTER NAME" prompt="Enter the name of the STAFF or FUNCTION who expressed INTEREST in the project." sqref="D27"/>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30:P30"/>
    <dataValidation type="list" allowBlank="1" showInputMessage="1" showErrorMessage="1" promptTitle="DROP DOWN LIST" prompt="Select a range of hours from the drop down list that best describes how involved this resource will be in DEVELOPING this project." sqref="E13:E18 E24:E27">
      <formula1>R.DDL_DEQResourcesInvolved</formula1>
    </dataValidation>
    <dataValidation type="list" allowBlank="1" showInputMessage="1" showErrorMessage="1" sqref="P29">
      <formula1>R.DDL_DEQStaffRank</formula1>
    </dataValidation>
    <dataValidation allowBlank="1" showInputMessage="1" showErrorMessage="1" promptTitle="ENTER INTEREST" prompt="Enter the interest that this person has expressed. Do not duplicate this INTEREST or staff listed in other areas of this workbook." sqref="D11 D22:P22"/>
    <dataValidation allowBlank="1" showInputMessage="1" showErrorMessage="1" promptTitle="ENTER NAME" prompt="Enter the name of the STAFF or FUNCTION who expressed INTEREST in the project." sqref="D18 D24:D25"/>
    <dataValidation allowBlank="1" showInputMessage="1" showErrorMessage="1" promptTitle="ENTER NAME" prompt="Enter the name of the STAFF or FUNCTION who expressed INTEREST in the project." sqref="D13:D17"/>
    <dataValidation allowBlank="1" showInputMessage="1" showErrorMessage="1" promptTitle="ENTER NAME" prompt="Enter the name of the STAFF or FUNCTION who expressed INTEREST in the project._x000a_" sqref="D26"/>
    <dataValidation allowBlank="1" showInputMessage="1" showErrorMessage="1" promptTitle="ENTER INTEREST" prompt="Please use no more than five words to describe the specific area of interest for the person identified._x000a__x000a_Examples can include review of public notice, communication strategy, etc." sqref="P13:P18 P24:P27"/>
  </dataValidations>
  <hyperlinks>
    <hyperlink ref="A1" location="R.0Header" display="⧀ Go to Content"/>
    <hyperlink ref="A31" location="R.5Header" display="Go to Top"/>
    <hyperlink ref="A9" r:id="rId1"/>
  </hyperlinks>
  <pageMargins left="0.47" right="0.25" top="0.75" bottom="0.75" header="0.3" footer="0.3"/>
  <pageSetup orientation="portrait" horizontalDpi="4294967293" verticalDpi="4294967293" r:id="rId2"/>
  <drawing r:id="rId3"/>
  <legacyDrawing r:id="rId4"/>
</worksheet>
</file>

<file path=xl/worksheets/sheet9.xml><?xml version="1.0" encoding="utf-8"?>
<worksheet xmlns="http://schemas.openxmlformats.org/spreadsheetml/2006/main" xmlns:r="http://schemas.openxmlformats.org/officeDocument/2006/relationships">
  <sheetPr codeName="Sheet12"/>
  <dimension ref="A1:AI87"/>
  <sheetViews>
    <sheetView showGridLines="0" zoomScaleNormal="100" workbookViewId="0">
      <selection activeCell="D2" sqref="D2"/>
    </sheetView>
  </sheetViews>
  <sheetFormatPr defaultColWidth="9" defaultRowHeight="20.25" outlineLevelRow="1" outlineLevelCol="1"/>
  <cols>
    <col min="1" max="1" width="13.75" style="337" customWidth="1"/>
    <col min="2" max="2" width="2.625" customWidth="1"/>
    <col min="3" max="3" width="2.625" style="44" customWidth="1"/>
    <col min="4" max="4" width="40.5" style="463" customWidth="1"/>
    <col min="5" max="5" width="15.75" style="463" customWidth="1"/>
    <col min="6" max="15" width="1.625" style="463" customWidth="1"/>
    <col min="16" max="16" width="15.75" style="463" customWidth="1"/>
    <col min="17" max="17" width="2.625" style="463" customWidth="1"/>
    <col min="18" max="18" width="2.625" style="436" customWidth="1"/>
    <col min="19" max="19" width="9" style="113" hidden="1" customWidth="1" outlineLevel="1"/>
    <col min="20" max="20" width="10.75" style="436" hidden="1" customWidth="1" outlineLevel="1"/>
    <col min="21" max="21" width="10.875" style="436" hidden="1" customWidth="1" outlineLevel="1"/>
    <col min="22" max="22" width="7.25" style="436" hidden="1" customWidth="1" outlineLevel="1"/>
    <col min="23" max="23" width="8.375" style="436" hidden="1" customWidth="1" outlineLevel="1"/>
    <col min="24" max="24" width="30.625" style="436" customWidth="1" collapsed="1"/>
    <col min="25" max="25" width="16.5" style="436" customWidth="1"/>
    <col min="26" max="26" width="18" style="436" customWidth="1"/>
    <col min="27" max="27" width="31.125" style="436" customWidth="1"/>
    <col min="28" max="35" width="31.125" style="64" customWidth="1"/>
    <col min="36" max="16384" width="9" style="102"/>
  </cols>
  <sheetData>
    <row r="1" spans="1:35" s="64" customFormat="1" ht="20.25" customHeight="1">
      <c r="A1" s="350" t="s">
        <v>104</v>
      </c>
      <c r="B1" s="334"/>
      <c r="C1" s="334"/>
      <c r="D1" s="334"/>
      <c r="E1" s="334"/>
      <c r="F1" s="334"/>
      <c r="G1" s="334"/>
      <c r="H1" s="334"/>
      <c r="I1" s="334"/>
      <c r="J1" s="334"/>
      <c r="K1" s="334"/>
      <c r="L1" s="334"/>
      <c r="M1" s="334"/>
      <c r="N1" s="334"/>
      <c r="O1" s="334"/>
      <c r="P1" s="334"/>
      <c r="Q1" s="334"/>
      <c r="R1" s="334"/>
      <c r="S1" s="113"/>
      <c r="T1" s="436"/>
      <c r="U1" s="436"/>
      <c r="V1" s="436"/>
      <c r="W1" s="436"/>
      <c r="X1" s="436"/>
      <c r="Y1" s="436"/>
      <c r="Z1" s="436"/>
      <c r="AA1" s="436"/>
    </row>
    <row r="2" spans="1:35" s="313" customFormat="1" ht="30" customHeight="1" thickBot="1">
      <c r="A2" s="350" t="s">
        <v>107</v>
      </c>
      <c r="B2" s="334"/>
      <c r="C2" s="324">
        <v>6</v>
      </c>
      <c r="D2" s="346" t="s">
        <v>62</v>
      </c>
      <c r="E2" s="728" t="str">
        <f>R.1MediaAndLongName</f>
        <v>CP Division 12 Updates</v>
      </c>
      <c r="F2" s="728"/>
      <c r="G2" s="728"/>
      <c r="H2" s="728"/>
      <c r="I2" s="728"/>
      <c r="J2" s="728"/>
      <c r="K2" s="728"/>
      <c r="L2" s="728"/>
      <c r="M2" s="728"/>
      <c r="N2" s="728"/>
      <c r="O2" s="728"/>
      <c r="P2" s="728"/>
      <c r="Q2" s="325"/>
      <c r="R2" s="334"/>
      <c r="S2" s="349" t="str">
        <f>"R."&amp;$C$2&amp;"StaffCount"</f>
        <v>R.6StaffCount</v>
      </c>
      <c r="T2" s="349" t="str">
        <f>"R."&amp;$C$2&amp;"LowHrs"</f>
        <v>R.6LowHrs</v>
      </c>
      <c r="U2" s="349" t="str">
        <f>"R."&amp;$C$2&amp;"HighHrs"</f>
        <v>R.6HighHrs</v>
      </c>
      <c r="V2" s="349"/>
      <c r="W2" s="349"/>
      <c r="X2" s="326" t="s">
        <v>0</v>
      </c>
      <c r="Y2" s="321"/>
      <c r="Z2" s="321"/>
      <c r="AA2" s="321"/>
      <c r="AB2" s="321"/>
      <c r="AC2" s="321"/>
      <c r="AD2" s="321"/>
      <c r="AE2" s="321"/>
      <c r="AF2" s="322"/>
      <c r="AG2" s="322"/>
      <c r="AH2" s="322"/>
      <c r="AI2" s="322"/>
    </row>
    <row r="3" spans="1:35" s="6" customFormat="1" ht="20.25" customHeight="1" thickTop="1">
      <c r="A3" s="344"/>
      <c r="B3" s="334"/>
      <c r="C3" s="155"/>
      <c r="D3" s="96"/>
      <c r="E3" s="96"/>
      <c r="F3" s="13"/>
      <c r="G3" s="465"/>
      <c r="H3" s="465"/>
      <c r="I3" s="465"/>
      <c r="J3" s="437"/>
      <c r="K3" s="13"/>
      <c r="L3" s="13"/>
      <c r="M3" s="729" t="s">
        <v>57</v>
      </c>
      <c r="N3" s="729"/>
      <c r="O3" s="729"/>
      <c r="P3" s="729"/>
      <c r="Q3" s="156"/>
      <c r="R3" s="334"/>
      <c r="S3" s="354">
        <f>COUNTIFS(S13:S75,"&gt;0")</f>
        <v>0</v>
      </c>
      <c r="T3" s="355">
        <f>SUM(T13:T75)</f>
        <v>0</v>
      </c>
      <c r="U3" s="355">
        <f>SUM(U13:U75)</f>
        <v>0</v>
      </c>
      <c r="V3" s="498"/>
      <c r="W3" s="498"/>
      <c r="X3" s="120"/>
      <c r="Y3" s="436"/>
      <c r="Z3" s="436"/>
      <c r="AA3" s="436"/>
      <c r="AB3" s="64"/>
      <c r="AC3" s="64"/>
      <c r="AD3" s="64"/>
      <c r="AE3" s="64"/>
      <c r="AF3" s="66"/>
      <c r="AG3" s="66"/>
      <c r="AH3" s="66"/>
      <c r="AI3" s="66"/>
    </row>
    <row r="4" spans="1:35" s="6" customFormat="1" ht="20.25" customHeight="1">
      <c r="A4" s="344"/>
      <c r="B4" s="334"/>
      <c r="C4" s="155"/>
      <c r="D4" s="494" t="s">
        <v>55</v>
      </c>
      <c r="E4" s="81">
        <f>S3</f>
        <v>0</v>
      </c>
      <c r="F4" s="700" t="s">
        <v>54</v>
      </c>
      <c r="G4" s="700"/>
      <c r="H4" s="700"/>
      <c r="I4" s="700"/>
      <c r="J4" s="700"/>
      <c r="K4" s="700"/>
      <c r="L4" s="700"/>
      <c r="M4" s="701" t="str">
        <f>S4</f>
        <v>0</v>
      </c>
      <c r="N4" s="701"/>
      <c r="O4" s="701"/>
      <c r="P4" s="701"/>
      <c r="Q4" s="156"/>
      <c r="R4" s="334"/>
      <c r="S4" s="362" t="str">
        <f>IF(R.6StaffCount=0,"0",IF(R.6LowHrs=0,"0-"&amp;TEXT(R.6HighHrs,"#,###"),TEXT(R.6LowHrs,"#,###")&amp;"-"&amp;TEXT(R.6HighHrs,"#,###")))</f>
        <v>0</v>
      </c>
      <c r="T4" s="349" t="str">
        <f>"R."&amp;$C$2&amp;"LowDollars"</f>
        <v>R.6LowDollars</v>
      </c>
      <c r="U4" s="349" t="str">
        <f>"R."&amp;$C$2&amp;"HighDollars"</f>
        <v>R.6HighDollars</v>
      </c>
      <c r="V4" s="349"/>
      <c r="W4" s="349"/>
      <c r="X4" s="120"/>
      <c r="Y4" s="436"/>
      <c r="Z4" s="436"/>
      <c r="AA4" s="436"/>
      <c r="AB4" s="64"/>
      <c r="AC4" s="64"/>
      <c r="AD4" s="64"/>
      <c r="AE4" s="64"/>
      <c r="AF4" s="66"/>
      <c r="AG4" s="66"/>
      <c r="AH4" s="66"/>
      <c r="AI4" s="66"/>
    </row>
    <row r="5" spans="1:35" s="6" customFormat="1" ht="20.25" customHeight="1">
      <c r="A5" s="344"/>
      <c r="B5" s="334"/>
      <c r="C5" s="155"/>
      <c r="D5" s="494" t="s">
        <v>67</v>
      </c>
      <c r="E5" s="98">
        <f>R.AvgHrDEQCost</f>
        <v>58</v>
      </c>
      <c r="F5" s="700" t="s">
        <v>58</v>
      </c>
      <c r="G5" s="700"/>
      <c r="H5" s="700"/>
      <c r="I5" s="700"/>
      <c r="J5" s="700"/>
      <c r="K5" s="700"/>
      <c r="L5" s="700"/>
      <c r="M5" s="702" t="str">
        <f>S5</f>
        <v>$0</v>
      </c>
      <c r="N5" s="702"/>
      <c r="O5" s="702"/>
      <c r="P5" s="702"/>
      <c r="Q5" s="156"/>
      <c r="R5" s="334"/>
      <c r="S5" s="122" t="str">
        <f>IF(R.6StaffCount=0,"$0",IF(R.6LowDollars=0,"$0-"&amp;TEXT(R.6HighDollars,"#,###"),TEXT(R.6LowDollars,"$#,###")&amp;"-"&amp;TEXT(R.6HighDollars,"#,###")))</f>
        <v>$0</v>
      </c>
      <c r="T5" s="124">
        <f>T3*E5</f>
        <v>0</v>
      </c>
      <c r="U5" s="124">
        <f>U3*E5</f>
        <v>0</v>
      </c>
      <c r="V5" s="493"/>
      <c r="W5" s="493"/>
      <c r="X5" s="120"/>
      <c r="Y5" s="436"/>
      <c r="Z5" s="436" t="s">
        <v>196</v>
      </c>
      <c r="AA5" s="436"/>
      <c r="AB5" s="64"/>
      <c r="AC5" s="64"/>
      <c r="AD5" s="64"/>
      <c r="AE5" s="64"/>
      <c r="AF5" s="66"/>
      <c r="AG5" s="66"/>
      <c r="AH5" s="66"/>
      <c r="AI5" s="66"/>
    </row>
    <row r="6" spans="1:35" s="6" customFormat="1" ht="9" customHeight="1">
      <c r="A6" s="344"/>
      <c r="B6" s="334"/>
      <c r="C6" s="155"/>
      <c r="D6" s="501" t="s">
        <v>0</v>
      </c>
      <c r="E6" s="100"/>
      <c r="F6" s="99"/>
      <c r="G6" s="99"/>
      <c r="H6" s="99"/>
      <c r="I6" s="99"/>
      <c r="J6" s="99"/>
      <c r="K6" s="99"/>
      <c r="L6" s="99"/>
      <c r="M6" s="99"/>
      <c r="N6" s="99"/>
      <c r="O6" s="99"/>
      <c r="P6" s="99"/>
      <c r="Q6" s="156"/>
      <c r="R6" s="334"/>
      <c r="S6" s="66"/>
      <c r="T6" s="66"/>
      <c r="U6" s="66"/>
      <c r="V6" s="66"/>
      <c r="W6" s="66"/>
      <c r="X6" s="120"/>
      <c r="Y6" s="436"/>
      <c r="Z6" s="436"/>
      <c r="AA6" s="436"/>
      <c r="AB6" s="64"/>
      <c r="AC6" s="64"/>
      <c r="AD6" s="64"/>
      <c r="AE6" s="64"/>
      <c r="AF6" s="66"/>
      <c r="AG6" s="66"/>
      <c r="AH6" s="66"/>
      <c r="AI6" s="66"/>
    </row>
    <row r="7" spans="1:35" s="6" customFormat="1" ht="93" customHeight="1">
      <c r="A7" s="316"/>
      <c r="B7" s="334"/>
      <c r="C7" s="155"/>
      <c r="D7" s="730" t="s">
        <v>252</v>
      </c>
      <c r="E7" s="731"/>
      <c r="F7" s="731"/>
      <c r="G7" s="731"/>
      <c r="H7" s="731"/>
      <c r="I7" s="731"/>
      <c r="J7" s="731"/>
      <c r="K7" s="731"/>
      <c r="L7" s="731"/>
      <c r="M7" s="731"/>
      <c r="N7" s="731"/>
      <c r="O7" s="731"/>
      <c r="P7" s="732"/>
      <c r="Q7" s="156"/>
      <c r="R7" s="334"/>
      <c r="S7" s="496" t="e">
        <f>AVERAGEIF(S14:S56,"&gt;0")</f>
        <v>#DIV/0!</v>
      </c>
      <c r="T7" s="493"/>
      <c r="U7" s="493"/>
      <c r="V7" s="120"/>
      <c r="W7" s="436"/>
      <c r="X7" s="436"/>
      <c r="Y7" s="436"/>
      <c r="Z7" s="436"/>
      <c r="AA7" s="436"/>
      <c r="AB7" s="436"/>
      <c r="AC7" s="436"/>
      <c r="AD7" s="66"/>
      <c r="AE7" s="66"/>
      <c r="AF7" s="66"/>
    </row>
    <row r="8" spans="1:35" s="69" customFormat="1" ht="14.25" customHeight="1">
      <c r="A8" s="345"/>
      <c r="B8" s="334"/>
      <c r="C8" s="404"/>
      <c r="D8" s="405"/>
      <c r="E8" s="405"/>
      <c r="F8" s="405"/>
      <c r="G8" s="405"/>
      <c r="H8" s="405"/>
      <c r="I8" s="405"/>
      <c r="J8" s="405"/>
      <c r="K8" s="405"/>
      <c r="L8" s="405"/>
      <c r="M8" s="405"/>
      <c r="N8" s="405"/>
      <c r="O8" s="405"/>
      <c r="P8" s="405"/>
      <c r="Q8" s="406"/>
      <c r="R8" s="334"/>
      <c r="S8" s="125"/>
      <c r="T8" s="125"/>
      <c r="U8" s="125"/>
      <c r="V8" s="125"/>
      <c r="W8" s="125"/>
      <c r="X8" s="438"/>
      <c r="Y8" s="438"/>
      <c r="Z8" s="438"/>
      <c r="AA8" s="438"/>
      <c r="AB8" s="126"/>
      <c r="AC8" s="126"/>
      <c r="AD8" s="126"/>
      <c r="AE8" s="126"/>
      <c r="AF8" s="125"/>
      <c r="AG8" s="125"/>
      <c r="AH8" s="125"/>
      <c r="AI8" s="125"/>
    </row>
    <row r="9" spans="1:35" s="33" customFormat="1" ht="30" customHeight="1">
      <c r="A9" s="350" t="s">
        <v>107</v>
      </c>
      <c r="B9" s="334"/>
      <c r="C9" s="517" t="s">
        <v>0</v>
      </c>
      <c r="D9" s="304" t="s">
        <v>125</v>
      </c>
      <c r="E9" s="94"/>
      <c r="F9" s="94"/>
      <c r="G9" s="94"/>
      <c r="H9" s="94"/>
      <c r="I9" s="94"/>
      <c r="J9" s="94"/>
      <c r="K9" s="94"/>
      <c r="L9" s="94"/>
      <c r="M9" s="94"/>
      <c r="N9" s="94"/>
      <c r="O9" s="94"/>
      <c r="P9" s="94"/>
      <c r="Q9" s="137"/>
      <c r="R9" s="334"/>
      <c r="S9" s="128"/>
      <c r="T9" s="127"/>
      <c r="U9" s="127"/>
      <c r="V9" s="127"/>
      <c r="W9" s="127"/>
      <c r="X9" s="129"/>
      <c r="Y9" s="129"/>
      <c r="Z9" s="129"/>
      <c r="AA9" s="129"/>
      <c r="AB9" s="129"/>
      <c r="AC9" s="129"/>
      <c r="AD9" s="129"/>
      <c r="AE9" s="129"/>
      <c r="AF9" s="127"/>
      <c r="AG9" s="127"/>
      <c r="AH9" s="127"/>
      <c r="AI9" s="127"/>
    </row>
    <row r="10" spans="1:35" s="33" customFormat="1" ht="14.25" customHeight="1">
      <c r="A10" s="344"/>
      <c r="B10" s="334"/>
      <c r="C10" s="232"/>
      <c r="D10" s="443" t="s">
        <v>53</v>
      </c>
      <c r="E10" s="94"/>
      <c r="F10" s="94"/>
      <c r="G10" s="94"/>
      <c r="H10" s="94"/>
      <c r="I10" s="94"/>
      <c r="J10" s="94"/>
      <c r="K10" s="94"/>
      <c r="L10" s="94"/>
      <c r="M10" s="94"/>
      <c r="N10" s="94"/>
      <c r="O10" s="94"/>
      <c r="P10" s="94"/>
      <c r="Q10" s="137"/>
      <c r="R10" s="334"/>
      <c r="S10" s="242"/>
      <c r="T10" s="127"/>
      <c r="U10" s="127"/>
      <c r="V10" s="127"/>
      <c r="W10" s="127"/>
      <c r="X10" s="230"/>
      <c r="Y10" s="230"/>
      <c r="Z10" s="230"/>
      <c r="AA10" s="230"/>
      <c r="AB10" s="230"/>
      <c r="AC10" s="230"/>
      <c r="AD10" s="230"/>
      <c r="AE10" s="230"/>
      <c r="AF10" s="127"/>
      <c r="AG10" s="127"/>
      <c r="AH10" s="127"/>
      <c r="AI10" s="127"/>
    </row>
    <row r="11" spans="1:35" s="28" customFormat="1" ht="15.75" customHeight="1">
      <c r="A11" s="345"/>
      <c r="B11" s="334"/>
      <c r="C11" s="138"/>
      <c r="D11" s="719"/>
      <c r="E11" s="720"/>
      <c r="F11" s="720"/>
      <c r="G11" s="720"/>
      <c r="H11" s="720"/>
      <c r="I11" s="720"/>
      <c r="J11" s="720"/>
      <c r="K11" s="720"/>
      <c r="L11" s="720"/>
      <c r="M11" s="720"/>
      <c r="N11" s="720"/>
      <c r="O11" s="720"/>
      <c r="P11" s="721"/>
      <c r="Q11" s="139"/>
      <c r="R11" s="334"/>
      <c r="S11" s="131"/>
      <c r="T11" s="130"/>
      <c r="U11" s="130"/>
      <c r="V11" s="130"/>
      <c r="W11" s="130"/>
      <c r="X11" s="436"/>
      <c r="Y11" s="436"/>
      <c r="Z11" s="436"/>
      <c r="AA11" s="436"/>
      <c r="AB11" s="64"/>
      <c r="AC11" s="64"/>
      <c r="AD11" s="64"/>
      <c r="AE11" s="64"/>
      <c r="AF11" s="130"/>
      <c r="AG11" s="130"/>
      <c r="AH11" s="130"/>
      <c r="AI11" s="130"/>
    </row>
    <row r="12" spans="1:35" s="33" customFormat="1" ht="15.75" customHeight="1">
      <c r="A12" s="344"/>
      <c r="B12" s="334"/>
      <c r="C12" s="233"/>
      <c r="D12" s="497" t="s">
        <v>60</v>
      </c>
      <c r="E12" s="467" t="s">
        <v>18</v>
      </c>
      <c r="F12" s="733" t="s">
        <v>19</v>
      </c>
      <c r="G12" s="733"/>
      <c r="H12" s="733"/>
      <c r="I12" s="733"/>
      <c r="J12" s="733"/>
      <c r="K12" s="733"/>
      <c r="L12" s="733"/>
      <c r="M12" s="733"/>
      <c r="N12" s="733"/>
      <c r="O12" s="733"/>
      <c r="P12" s="467" t="s">
        <v>20</v>
      </c>
      <c r="Q12" s="137"/>
      <c r="R12" s="334"/>
      <c r="S12" s="228"/>
      <c r="T12" s="229"/>
      <c r="U12" s="229"/>
      <c r="V12" s="229"/>
      <c r="W12" s="229"/>
      <c r="X12" s="230"/>
      <c r="Y12" s="230"/>
      <c r="Z12" s="230"/>
      <c r="AA12" s="230"/>
      <c r="AB12" s="230"/>
      <c r="AC12" s="230"/>
      <c r="AD12" s="230"/>
      <c r="AE12" s="230"/>
      <c r="AF12" s="127"/>
      <c r="AG12" s="127"/>
      <c r="AH12" s="127"/>
      <c r="AI12" s="127"/>
    </row>
    <row r="13" spans="1:35" s="28" customFormat="1" ht="15.75" customHeight="1">
      <c r="A13" s="345"/>
      <c r="B13" s="334"/>
      <c r="C13" s="514" t="s">
        <v>0</v>
      </c>
      <c r="D13" s="36"/>
      <c r="E13" s="30" t="s">
        <v>229</v>
      </c>
      <c r="F13" s="71">
        <v>1</v>
      </c>
      <c r="G13" s="72">
        <v>2</v>
      </c>
      <c r="H13" s="73">
        <v>3</v>
      </c>
      <c r="I13" s="74">
        <v>4</v>
      </c>
      <c r="J13" s="75">
        <v>5</v>
      </c>
      <c r="K13" s="76">
        <v>6</v>
      </c>
      <c r="L13" s="77">
        <v>7</v>
      </c>
      <c r="M13" s="78">
        <v>8</v>
      </c>
      <c r="N13" s="79">
        <v>9</v>
      </c>
      <c r="O13" s="80">
        <v>10</v>
      </c>
      <c r="P13" s="32"/>
      <c r="Q13" s="139"/>
      <c r="R13" s="334"/>
      <c r="S13" s="133">
        <f>VLOOKUP($E13,R.VL_DEQResourcesInvolved,2,FALSE)</f>
        <v>0</v>
      </c>
      <c r="T13" s="121">
        <f>VLOOKUP($E13,R.VL_DEQResourcesInvolved,3,FALSE)</f>
        <v>0</v>
      </c>
      <c r="U13" s="121">
        <f>IF(S13=10,T13,VLOOKUP($E13,R.VL_DEQResourcesInvolved,4,FALSE))</f>
        <v>0</v>
      </c>
      <c r="V13" s="128"/>
      <c r="W13" s="128"/>
      <c r="X13" s="575" t="s">
        <v>554</v>
      </c>
      <c r="Y13" s="436"/>
      <c r="Z13" s="436"/>
      <c r="AA13" s="436"/>
      <c r="AB13" s="64"/>
      <c r="AC13" s="64"/>
      <c r="AD13" s="64"/>
      <c r="AE13" s="64"/>
      <c r="AF13" s="130"/>
      <c r="AG13" s="130"/>
      <c r="AH13" s="130"/>
      <c r="AI13" s="130"/>
    </row>
    <row r="14" spans="1:35" s="28" customFormat="1" ht="15.75" hidden="1" customHeight="1" outlineLevel="1">
      <c r="A14" s="345"/>
      <c r="B14" s="334"/>
      <c r="C14" s="514" t="s">
        <v>0</v>
      </c>
      <c r="D14" s="36" t="s">
        <v>0</v>
      </c>
      <c r="E14" s="30" t="s">
        <v>229</v>
      </c>
      <c r="F14" s="71">
        <v>1</v>
      </c>
      <c r="G14" s="72">
        <v>2</v>
      </c>
      <c r="H14" s="73">
        <v>3</v>
      </c>
      <c r="I14" s="74">
        <v>4</v>
      </c>
      <c r="J14" s="75">
        <v>5</v>
      </c>
      <c r="K14" s="76">
        <v>6</v>
      </c>
      <c r="L14" s="77">
        <v>7</v>
      </c>
      <c r="M14" s="78">
        <v>8</v>
      </c>
      <c r="N14" s="79">
        <v>9</v>
      </c>
      <c r="O14" s="80">
        <v>10</v>
      </c>
      <c r="P14" s="32"/>
      <c r="Q14" s="139"/>
      <c r="R14" s="334"/>
      <c r="S14" s="133">
        <f>VLOOKUP($E14,R.VL_DEQResourcesInvolved,2,FALSE)</f>
        <v>0</v>
      </c>
      <c r="T14" s="121">
        <f>VLOOKUP($E14,R.VL_DEQResourcesInvolved,3,FALSE)</f>
        <v>0</v>
      </c>
      <c r="U14" s="121">
        <f>IF(S14=10,T14,VLOOKUP($E14,R.VL_DEQResourcesInvolved,4,FALSE))</f>
        <v>0</v>
      </c>
      <c r="V14" s="128"/>
      <c r="W14" s="128"/>
      <c r="X14" s="436"/>
      <c r="Y14" s="436"/>
      <c r="Z14" s="436"/>
      <c r="AA14" s="436"/>
      <c r="AB14" s="64"/>
      <c r="AC14" s="64"/>
      <c r="AD14" s="64"/>
      <c r="AE14" s="64"/>
      <c r="AF14" s="130"/>
      <c r="AG14" s="130"/>
      <c r="AH14" s="130"/>
      <c r="AI14" s="130"/>
    </row>
    <row r="15" spans="1:35" s="28" customFormat="1" ht="15.75" hidden="1" customHeight="1" outlineLevel="1">
      <c r="A15" s="345"/>
      <c r="B15" s="334"/>
      <c r="C15" s="514" t="s">
        <v>0</v>
      </c>
      <c r="D15" s="36" t="s">
        <v>0</v>
      </c>
      <c r="E15" s="30" t="s">
        <v>229</v>
      </c>
      <c r="F15" s="71">
        <v>1</v>
      </c>
      <c r="G15" s="72">
        <v>2</v>
      </c>
      <c r="H15" s="73">
        <v>3</v>
      </c>
      <c r="I15" s="74">
        <v>4</v>
      </c>
      <c r="J15" s="75">
        <v>5</v>
      </c>
      <c r="K15" s="76">
        <v>6</v>
      </c>
      <c r="L15" s="77">
        <v>7</v>
      </c>
      <c r="M15" s="78">
        <v>8</v>
      </c>
      <c r="N15" s="79">
        <v>9</v>
      </c>
      <c r="O15" s="80">
        <v>10</v>
      </c>
      <c r="P15" s="32"/>
      <c r="Q15" s="139"/>
      <c r="R15" s="334"/>
      <c r="S15" s="133">
        <f>VLOOKUP($E15,R.VL_DEQResourcesInvolved,2,FALSE)</f>
        <v>0</v>
      </c>
      <c r="T15" s="121">
        <f>VLOOKUP($E15,R.VL_DEQResourcesInvolved,3,FALSE)</f>
        <v>0</v>
      </c>
      <c r="U15" s="121">
        <f>IF(S15=10,T15,VLOOKUP($E15,R.VL_DEQResourcesInvolved,4,FALSE))</f>
        <v>0</v>
      </c>
      <c r="V15" s="128"/>
      <c r="W15" s="128"/>
      <c r="X15" s="436"/>
      <c r="Y15" s="436"/>
      <c r="Z15" s="436"/>
      <c r="AA15" s="436"/>
      <c r="AB15" s="64"/>
      <c r="AC15" s="64"/>
      <c r="AD15" s="64"/>
      <c r="AE15" s="64"/>
      <c r="AF15" s="130"/>
      <c r="AG15" s="130"/>
      <c r="AH15" s="130"/>
      <c r="AI15" s="130"/>
    </row>
    <row r="16" spans="1:35" s="28" customFormat="1" ht="15.75" hidden="1" customHeight="1" outlineLevel="1">
      <c r="A16" s="345"/>
      <c r="B16" s="334"/>
      <c r="C16" s="514" t="s">
        <v>0</v>
      </c>
      <c r="D16" s="36" t="s">
        <v>0</v>
      </c>
      <c r="E16" s="30" t="s">
        <v>229</v>
      </c>
      <c r="F16" s="71">
        <v>1</v>
      </c>
      <c r="G16" s="72">
        <v>2</v>
      </c>
      <c r="H16" s="73">
        <v>3</v>
      </c>
      <c r="I16" s="74">
        <v>4</v>
      </c>
      <c r="J16" s="75">
        <v>5</v>
      </c>
      <c r="K16" s="76">
        <v>6</v>
      </c>
      <c r="L16" s="77">
        <v>7</v>
      </c>
      <c r="M16" s="78">
        <v>8</v>
      </c>
      <c r="N16" s="79">
        <v>9</v>
      </c>
      <c r="O16" s="80">
        <v>10</v>
      </c>
      <c r="P16" s="32"/>
      <c r="Q16" s="139"/>
      <c r="R16" s="334"/>
      <c r="S16" s="133">
        <f>VLOOKUP($E16,R.VL_DEQResourcesInvolved,2,FALSE)</f>
        <v>0</v>
      </c>
      <c r="T16" s="121">
        <f>VLOOKUP($E16,R.VL_DEQResourcesInvolved,3,FALSE)</f>
        <v>0</v>
      </c>
      <c r="U16" s="121">
        <f>IF(S16=10,T16,VLOOKUP($E16,R.VL_DEQResourcesInvolved,4,FALSE))</f>
        <v>0</v>
      </c>
      <c r="V16" s="128"/>
      <c r="W16" s="128"/>
      <c r="X16" s="436"/>
      <c r="Y16" s="436"/>
      <c r="Z16" s="436"/>
      <c r="AA16" s="436"/>
      <c r="AB16" s="64"/>
      <c r="AC16" s="64"/>
      <c r="AD16" s="64"/>
      <c r="AE16" s="64"/>
      <c r="AF16" s="130"/>
      <c r="AG16" s="130"/>
      <c r="AH16" s="130"/>
      <c r="AI16" s="130"/>
    </row>
    <row r="17" spans="1:35" s="28" customFormat="1" ht="15.75" customHeight="1" collapsed="1">
      <c r="A17" s="345"/>
      <c r="B17" s="334"/>
      <c r="C17" s="515"/>
      <c r="D17" s="442" t="s">
        <v>52</v>
      </c>
      <c r="E17" s="31"/>
      <c r="F17" s="31"/>
      <c r="G17" s="31"/>
      <c r="H17" s="31"/>
      <c r="I17" s="31"/>
      <c r="J17" s="31"/>
      <c r="K17" s="31"/>
      <c r="L17" s="31"/>
      <c r="M17" s="31"/>
      <c r="N17" s="31"/>
      <c r="O17" s="31"/>
      <c r="P17" s="31"/>
      <c r="Q17" s="143"/>
      <c r="R17" s="334"/>
      <c r="S17" s="228"/>
      <c r="T17" s="229"/>
      <c r="U17" s="229"/>
      <c r="V17" s="511" t="str">
        <f>SUM(T13:T16)&amp;"-"&amp;SUM(U13:U16)</f>
        <v>0-0</v>
      </c>
      <c r="W17" s="229"/>
      <c r="X17" s="236"/>
      <c r="Y17" s="236"/>
      <c r="Z17" s="236"/>
      <c r="AA17" s="236"/>
      <c r="AB17" s="236"/>
      <c r="AC17" s="236"/>
      <c r="AD17" s="236"/>
      <c r="AE17" s="236"/>
      <c r="AF17" s="130"/>
      <c r="AG17" s="130"/>
      <c r="AH17" s="130"/>
      <c r="AI17" s="130"/>
    </row>
    <row r="18" spans="1:35" s="28" customFormat="1" ht="15.75" customHeight="1">
      <c r="A18" s="345"/>
      <c r="B18" s="334"/>
      <c r="C18" s="514"/>
      <c r="D18" s="734"/>
      <c r="E18" s="735"/>
      <c r="F18" s="735"/>
      <c r="G18" s="735"/>
      <c r="H18" s="735"/>
      <c r="I18" s="735"/>
      <c r="J18" s="735"/>
      <c r="K18" s="735"/>
      <c r="L18" s="735"/>
      <c r="M18" s="735"/>
      <c r="N18" s="735"/>
      <c r="O18" s="735"/>
      <c r="P18" s="736"/>
      <c r="Q18" s="139"/>
      <c r="R18" s="334"/>
      <c r="S18" s="132" t="s">
        <v>0</v>
      </c>
      <c r="T18" s="131"/>
      <c r="U18" s="131"/>
      <c r="V18" s="131"/>
      <c r="W18" s="131"/>
      <c r="X18" s="436"/>
      <c r="Y18" s="436"/>
      <c r="Z18" s="436"/>
      <c r="AA18" s="436"/>
      <c r="AB18" s="64"/>
      <c r="AC18" s="64"/>
      <c r="AD18" s="64"/>
      <c r="AE18" s="64"/>
      <c r="AF18" s="130"/>
      <c r="AG18" s="130"/>
      <c r="AH18" s="130"/>
      <c r="AI18" s="130"/>
    </row>
    <row r="19" spans="1:35" s="33" customFormat="1" ht="15.75" customHeight="1">
      <c r="A19" s="344"/>
      <c r="B19" s="334"/>
      <c r="C19" s="516"/>
      <c r="D19" s="442" t="s">
        <v>60</v>
      </c>
      <c r="E19" s="292" t="s">
        <v>18</v>
      </c>
      <c r="F19" s="292" t="s">
        <v>19</v>
      </c>
      <c r="G19" s="292"/>
      <c r="H19" s="292"/>
      <c r="I19" s="292"/>
      <c r="J19" s="292"/>
      <c r="K19" s="292"/>
      <c r="L19" s="292"/>
      <c r="M19" s="292"/>
      <c r="N19" s="292"/>
      <c r="O19" s="292"/>
      <c r="P19" s="292" t="s">
        <v>20</v>
      </c>
      <c r="Q19" s="137"/>
      <c r="R19" s="334"/>
      <c r="S19" s="228"/>
      <c r="T19" s="229"/>
      <c r="U19" s="229"/>
      <c r="V19" s="229"/>
      <c r="W19" s="229"/>
      <c r="X19" s="230"/>
      <c r="Y19" s="230"/>
      <c r="Z19" s="230"/>
      <c r="AA19" s="230"/>
      <c r="AB19" s="230"/>
      <c r="AC19" s="230"/>
      <c r="AD19" s="230"/>
      <c r="AE19" s="230"/>
      <c r="AF19" s="127"/>
      <c r="AG19" s="127"/>
      <c r="AH19" s="127"/>
      <c r="AI19" s="127"/>
    </row>
    <row r="20" spans="1:35" s="28" customFormat="1" ht="15.75" customHeight="1">
      <c r="A20" s="345"/>
      <c r="B20" s="334"/>
      <c r="C20" s="514" t="s">
        <v>0</v>
      </c>
      <c r="D20" s="36" t="s">
        <v>0</v>
      </c>
      <c r="E20" s="30" t="s">
        <v>229</v>
      </c>
      <c r="F20" s="71">
        <v>1</v>
      </c>
      <c r="G20" s="72">
        <v>2</v>
      </c>
      <c r="H20" s="73">
        <v>3</v>
      </c>
      <c r="I20" s="74">
        <v>4</v>
      </c>
      <c r="J20" s="75">
        <v>5</v>
      </c>
      <c r="K20" s="76">
        <v>6</v>
      </c>
      <c r="L20" s="77">
        <v>7</v>
      </c>
      <c r="M20" s="78">
        <v>8</v>
      </c>
      <c r="N20" s="79">
        <v>9</v>
      </c>
      <c r="O20" s="80">
        <v>10</v>
      </c>
      <c r="P20" s="32"/>
      <c r="Q20" s="139"/>
      <c r="R20" s="334"/>
      <c r="S20" s="133">
        <f>VLOOKUP($E20,R.VL_DEQResourcesInvolved,2,FALSE)</f>
        <v>0</v>
      </c>
      <c r="T20" s="121">
        <f>VLOOKUP($E20,R.VL_DEQResourcesInvolved,3,FALSE)</f>
        <v>0</v>
      </c>
      <c r="U20" s="121">
        <f>IF(S20=10,T20,VLOOKUP($E20,R.VL_DEQResourcesInvolved,4,FALSE))</f>
        <v>0</v>
      </c>
      <c r="V20" s="128"/>
      <c r="W20" s="128"/>
      <c r="X20" s="575" t="s">
        <v>554</v>
      </c>
      <c r="Y20" s="436"/>
      <c r="Z20" s="436"/>
      <c r="AA20" s="436"/>
      <c r="AB20" s="64"/>
      <c r="AC20" s="64"/>
      <c r="AD20" s="64"/>
      <c r="AE20" s="64"/>
      <c r="AF20" s="130"/>
      <c r="AG20" s="130"/>
      <c r="AH20" s="130"/>
      <c r="AI20" s="130"/>
    </row>
    <row r="21" spans="1:35" s="28" customFormat="1" ht="15.75" hidden="1" customHeight="1" outlineLevel="1">
      <c r="A21" s="345"/>
      <c r="B21" s="334"/>
      <c r="C21" s="514" t="s">
        <v>0</v>
      </c>
      <c r="D21" s="36" t="s">
        <v>0</v>
      </c>
      <c r="E21" s="30" t="s">
        <v>229</v>
      </c>
      <c r="F21" s="71">
        <v>1</v>
      </c>
      <c r="G21" s="72">
        <v>2</v>
      </c>
      <c r="H21" s="73">
        <v>3</v>
      </c>
      <c r="I21" s="74">
        <v>4</v>
      </c>
      <c r="J21" s="75">
        <v>5</v>
      </c>
      <c r="K21" s="76">
        <v>6</v>
      </c>
      <c r="L21" s="77">
        <v>7</v>
      </c>
      <c r="M21" s="78">
        <v>8</v>
      </c>
      <c r="N21" s="79">
        <v>9</v>
      </c>
      <c r="O21" s="80">
        <v>10</v>
      </c>
      <c r="P21" s="32"/>
      <c r="Q21" s="139"/>
      <c r="R21" s="334"/>
      <c r="S21" s="133">
        <f>VLOOKUP($E21,R.VL_DEQResourcesInvolved,2,FALSE)</f>
        <v>0</v>
      </c>
      <c r="T21" s="121">
        <f>VLOOKUP($E21,R.VL_DEQResourcesInvolved,3,FALSE)</f>
        <v>0</v>
      </c>
      <c r="U21" s="121">
        <f>IF(S21=10,T21,VLOOKUP($E21,R.VL_DEQResourcesInvolved,4,FALSE))</f>
        <v>0</v>
      </c>
      <c r="V21" s="128"/>
      <c r="W21" s="128"/>
      <c r="X21" s="436"/>
      <c r="Y21" s="436"/>
      <c r="Z21" s="436"/>
      <c r="AA21" s="436"/>
      <c r="AB21" s="64"/>
      <c r="AC21" s="64"/>
      <c r="AD21" s="64"/>
      <c r="AE21" s="64"/>
      <c r="AF21" s="130"/>
      <c r="AG21" s="130"/>
      <c r="AH21" s="130"/>
      <c r="AI21" s="130"/>
    </row>
    <row r="22" spans="1:35" s="28" customFormat="1" ht="15.75" hidden="1" customHeight="1" outlineLevel="1">
      <c r="A22" s="345"/>
      <c r="B22" s="334"/>
      <c r="C22" s="514" t="s">
        <v>0</v>
      </c>
      <c r="D22" s="36" t="s">
        <v>0</v>
      </c>
      <c r="E22" s="30" t="s">
        <v>229</v>
      </c>
      <c r="F22" s="71">
        <v>1</v>
      </c>
      <c r="G22" s="72">
        <v>2</v>
      </c>
      <c r="H22" s="73">
        <v>3</v>
      </c>
      <c r="I22" s="74">
        <v>4</v>
      </c>
      <c r="J22" s="75">
        <v>5</v>
      </c>
      <c r="K22" s="76">
        <v>6</v>
      </c>
      <c r="L22" s="77">
        <v>7</v>
      </c>
      <c r="M22" s="78">
        <v>8</v>
      </c>
      <c r="N22" s="79">
        <v>9</v>
      </c>
      <c r="O22" s="80">
        <v>10</v>
      </c>
      <c r="P22" s="32"/>
      <c r="Q22" s="139"/>
      <c r="R22" s="334"/>
      <c r="S22" s="133">
        <f>VLOOKUP($E22,R.VL_DEQResourcesInvolved,2,FALSE)</f>
        <v>0</v>
      </c>
      <c r="T22" s="121">
        <f>VLOOKUP($E22,R.VL_DEQResourcesInvolved,3,FALSE)</f>
        <v>0</v>
      </c>
      <c r="U22" s="121">
        <f>IF(S22=10,T22,VLOOKUP($E22,R.VL_DEQResourcesInvolved,4,FALSE))</f>
        <v>0</v>
      </c>
      <c r="V22" s="128"/>
      <c r="W22" s="128"/>
      <c r="X22" s="436"/>
      <c r="Y22" s="436"/>
      <c r="Z22" s="436"/>
      <c r="AA22" s="436"/>
      <c r="AB22" s="64"/>
      <c r="AC22" s="64"/>
      <c r="AD22" s="64"/>
      <c r="AE22" s="64"/>
      <c r="AF22" s="130"/>
      <c r="AG22" s="130"/>
      <c r="AH22" s="130"/>
      <c r="AI22" s="130"/>
    </row>
    <row r="23" spans="1:35" s="28" customFormat="1" ht="15.75" hidden="1" customHeight="1" outlineLevel="1" thickBot="1">
      <c r="A23" s="345"/>
      <c r="B23" s="334"/>
      <c r="C23" s="514" t="s">
        <v>0</v>
      </c>
      <c r="D23" s="36" t="s">
        <v>0</v>
      </c>
      <c r="E23" s="30" t="s">
        <v>229</v>
      </c>
      <c r="F23" s="71">
        <v>1</v>
      </c>
      <c r="G23" s="72">
        <v>2</v>
      </c>
      <c r="H23" s="73">
        <v>3</v>
      </c>
      <c r="I23" s="74">
        <v>4</v>
      </c>
      <c r="J23" s="75">
        <v>5</v>
      </c>
      <c r="K23" s="76">
        <v>6</v>
      </c>
      <c r="L23" s="77">
        <v>7</v>
      </c>
      <c r="M23" s="78">
        <v>8</v>
      </c>
      <c r="N23" s="79">
        <v>9</v>
      </c>
      <c r="O23" s="80">
        <v>10</v>
      </c>
      <c r="P23" s="32"/>
      <c r="Q23" s="139"/>
      <c r="R23" s="334"/>
      <c r="S23" s="133">
        <f>VLOOKUP($E23,R.VL_DEQResourcesInvolved,2,FALSE)</f>
        <v>0</v>
      </c>
      <c r="T23" s="121">
        <f>VLOOKUP($E23,R.VL_DEQResourcesInvolved,3,FALSE)</f>
        <v>0</v>
      </c>
      <c r="U23" s="121">
        <f>IF(S23=10,T23,VLOOKUP($E23,R.VL_DEQResourcesInvolved,4,FALSE))</f>
        <v>0</v>
      </c>
      <c r="V23" s="511" t="str">
        <f>SUM(T20:T23)&amp;"-"&amp;SUM(U20:U23)</f>
        <v>0-0</v>
      </c>
      <c r="W23" s="512" t="str">
        <f>SUM(T13:T23)&amp;"-"&amp;SUM(U13:U23)</f>
        <v>0-0</v>
      </c>
      <c r="X23" s="436"/>
      <c r="Y23" s="436"/>
      <c r="Z23" s="436"/>
      <c r="AA23" s="436"/>
      <c r="AB23" s="64"/>
      <c r="AC23" s="64"/>
      <c r="AD23" s="64"/>
      <c r="AE23" s="64"/>
      <c r="AF23" s="130"/>
      <c r="AG23" s="130"/>
      <c r="AH23" s="130"/>
      <c r="AI23" s="130"/>
    </row>
    <row r="24" spans="1:35" s="28" customFormat="1" ht="14.25" customHeight="1" collapsed="1">
      <c r="A24" s="345"/>
      <c r="B24" s="334"/>
      <c r="C24" s="514"/>
      <c r="D24" s="479"/>
      <c r="E24" s="723"/>
      <c r="F24" s="723"/>
      <c r="G24" s="723"/>
      <c r="H24" s="723"/>
      <c r="I24" s="723"/>
      <c r="J24" s="723"/>
      <c r="K24" s="723"/>
      <c r="L24" s="723"/>
      <c r="M24" s="723"/>
      <c r="N24" s="723"/>
      <c r="O24" s="723"/>
      <c r="P24" s="723"/>
      <c r="Q24" s="139"/>
      <c r="R24" s="334"/>
      <c r="S24" s="132"/>
      <c r="T24" s="134"/>
      <c r="U24" s="134"/>
      <c r="W24" s="134"/>
      <c r="X24" s="436"/>
      <c r="Y24" s="436"/>
      <c r="Z24" s="436"/>
      <c r="AA24" s="436"/>
      <c r="AB24" s="64"/>
      <c r="AC24" s="64"/>
      <c r="AD24" s="64"/>
      <c r="AE24" s="64"/>
      <c r="AF24" s="130"/>
      <c r="AG24" s="130"/>
      <c r="AH24" s="130"/>
      <c r="AI24" s="130"/>
    </row>
    <row r="25" spans="1:35" s="28" customFormat="1" ht="14.25" customHeight="1">
      <c r="A25" s="345"/>
      <c r="B25" s="334"/>
      <c r="C25" s="376"/>
      <c r="D25" s="377"/>
      <c r="E25" s="482"/>
      <c r="F25" s="482"/>
      <c r="G25" s="482"/>
      <c r="H25" s="482"/>
      <c r="I25" s="482"/>
      <c r="J25" s="482"/>
      <c r="K25" s="482"/>
      <c r="L25" s="482"/>
      <c r="M25" s="482"/>
      <c r="N25" s="482"/>
      <c r="O25" s="482"/>
      <c r="P25" s="482"/>
      <c r="Q25" s="379"/>
      <c r="R25" s="334"/>
      <c r="S25" s="132"/>
      <c r="T25" s="134"/>
      <c r="U25" s="134"/>
      <c r="V25" s="134"/>
      <c r="W25" s="134"/>
      <c r="X25" s="436"/>
      <c r="Y25" s="436"/>
      <c r="Z25" s="436"/>
      <c r="AA25" s="436"/>
      <c r="AB25" s="436"/>
      <c r="AC25" s="436"/>
      <c r="AD25" s="436"/>
      <c r="AE25" s="436"/>
      <c r="AF25" s="130"/>
      <c r="AG25" s="130"/>
      <c r="AH25" s="130"/>
      <c r="AI25" s="130"/>
    </row>
    <row r="26" spans="1:35" s="33" customFormat="1" ht="30" customHeight="1">
      <c r="A26" s="350" t="s">
        <v>107</v>
      </c>
      <c r="B26" s="334"/>
      <c r="C26" s="136"/>
      <c r="D26" s="304" t="s">
        <v>126</v>
      </c>
      <c r="E26" s="94"/>
      <c r="F26" s="94"/>
      <c r="G26" s="94"/>
      <c r="H26" s="94"/>
      <c r="I26" s="94"/>
      <c r="J26" s="94"/>
      <c r="K26" s="94"/>
      <c r="L26" s="94"/>
      <c r="M26" s="94"/>
      <c r="N26" s="94"/>
      <c r="O26" s="94"/>
      <c r="P26" s="94"/>
      <c r="Q26" s="137"/>
      <c r="R26" s="334"/>
      <c r="S26" s="134"/>
      <c r="T26" s="131"/>
      <c r="U26" s="131"/>
      <c r="V26" s="131"/>
      <c r="W26" s="131"/>
      <c r="X26" s="129"/>
      <c r="Y26" s="129"/>
      <c r="Z26" s="129"/>
      <c r="AA26" s="129"/>
      <c r="AB26" s="129"/>
      <c r="AC26" s="129"/>
      <c r="AD26" s="129"/>
      <c r="AE26" s="129"/>
      <c r="AF26" s="127"/>
      <c r="AG26" s="127"/>
      <c r="AH26" s="127"/>
      <c r="AI26" s="127"/>
    </row>
    <row r="27" spans="1:35" s="33" customFormat="1" ht="14.25" customHeight="1">
      <c r="A27" s="344"/>
      <c r="B27" s="334"/>
      <c r="C27" s="136"/>
      <c r="D27" s="443" t="s">
        <v>53</v>
      </c>
      <c r="E27" s="94"/>
      <c r="F27" s="94"/>
      <c r="G27" s="94"/>
      <c r="H27" s="94"/>
      <c r="I27" s="94"/>
      <c r="J27" s="94"/>
      <c r="K27" s="94"/>
      <c r="L27" s="94"/>
      <c r="M27" s="94"/>
      <c r="N27" s="94"/>
      <c r="O27" s="94"/>
      <c r="P27" s="94"/>
      <c r="Q27" s="137"/>
      <c r="R27" s="334"/>
      <c r="S27" s="134"/>
      <c r="T27" s="131"/>
      <c r="U27" s="131"/>
      <c r="V27" s="131"/>
      <c r="W27" s="131"/>
      <c r="X27" s="129"/>
      <c r="Y27" s="129"/>
      <c r="Z27" s="129"/>
      <c r="AA27" s="129"/>
      <c r="AB27" s="129"/>
      <c r="AC27" s="129"/>
      <c r="AD27" s="129"/>
      <c r="AE27" s="129"/>
      <c r="AF27" s="127"/>
      <c r="AG27" s="127"/>
      <c r="AH27" s="127"/>
      <c r="AI27" s="127"/>
    </row>
    <row r="28" spans="1:35" s="28" customFormat="1" ht="15.75" customHeight="1">
      <c r="A28" s="345"/>
      <c r="B28" s="334"/>
      <c r="C28" s="138"/>
      <c r="D28" s="719"/>
      <c r="E28" s="720"/>
      <c r="F28" s="720"/>
      <c r="G28" s="720"/>
      <c r="H28" s="720"/>
      <c r="I28" s="720"/>
      <c r="J28" s="720"/>
      <c r="K28" s="720"/>
      <c r="L28" s="720"/>
      <c r="M28" s="720"/>
      <c r="N28" s="720"/>
      <c r="O28" s="720"/>
      <c r="P28" s="721"/>
      <c r="Q28" s="139"/>
      <c r="R28" s="334"/>
      <c r="S28" s="132" t="s">
        <v>0</v>
      </c>
      <c r="T28" s="131"/>
      <c r="U28" s="131"/>
      <c r="V28" s="131"/>
      <c r="W28" s="131"/>
      <c r="X28" s="436"/>
      <c r="Y28" s="436"/>
      <c r="Z28" s="436"/>
      <c r="AA28" s="436"/>
      <c r="AB28" s="64"/>
      <c r="AC28" s="64"/>
      <c r="AD28" s="64"/>
      <c r="AE28" s="64"/>
      <c r="AF28" s="130"/>
      <c r="AG28" s="130"/>
      <c r="AH28" s="130"/>
      <c r="AI28" s="130"/>
    </row>
    <row r="29" spans="1:35" s="33" customFormat="1" ht="15.75" customHeight="1">
      <c r="A29" s="344"/>
      <c r="B29" s="334"/>
      <c r="C29" s="232"/>
      <c r="D29" s="442" t="s">
        <v>60</v>
      </c>
      <c r="E29" s="292" t="s">
        <v>18</v>
      </c>
      <c r="F29" s="292" t="s">
        <v>19</v>
      </c>
      <c r="G29" s="292"/>
      <c r="H29" s="292"/>
      <c r="I29" s="292"/>
      <c r="J29" s="292"/>
      <c r="K29" s="292"/>
      <c r="L29" s="292"/>
      <c r="M29" s="292"/>
      <c r="N29" s="292"/>
      <c r="O29" s="292"/>
      <c r="P29" s="292" t="s">
        <v>20</v>
      </c>
      <c r="Q29" s="137"/>
      <c r="R29" s="334"/>
      <c r="S29" s="228"/>
      <c r="T29" s="229"/>
      <c r="U29" s="229"/>
      <c r="V29" s="229"/>
      <c r="W29" s="229"/>
      <c r="X29" s="230"/>
      <c r="Y29" s="230"/>
      <c r="Z29" s="230"/>
      <c r="AA29" s="230"/>
      <c r="AB29" s="230"/>
      <c r="AC29" s="230"/>
      <c r="AD29" s="230"/>
      <c r="AE29" s="230"/>
      <c r="AF29" s="127"/>
      <c r="AG29" s="127"/>
      <c r="AH29" s="127"/>
      <c r="AI29" s="127"/>
    </row>
    <row r="30" spans="1:35" s="28" customFormat="1" ht="15.75" customHeight="1">
      <c r="A30" s="345"/>
      <c r="B30" s="334"/>
      <c r="C30" s="138"/>
      <c r="D30" s="36"/>
      <c r="E30" s="30" t="s">
        <v>229</v>
      </c>
      <c r="F30" s="71">
        <v>1</v>
      </c>
      <c r="G30" s="72">
        <v>2</v>
      </c>
      <c r="H30" s="73">
        <v>3</v>
      </c>
      <c r="I30" s="74">
        <v>4</v>
      </c>
      <c r="J30" s="75">
        <v>5</v>
      </c>
      <c r="K30" s="76">
        <v>6</v>
      </c>
      <c r="L30" s="77">
        <v>7</v>
      </c>
      <c r="M30" s="78">
        <v>8</v>
      </c>
      <c r="N30" s="79">
        <v>9</v>
      </c>
      <c r="O30" s="80">
        <v>10</v>
      </c>
      <c r="P30" s="32" t="s">
        <v>0</v>
      </c>
      <c r="Q30" s="139"/>
      <c r="R30" s="334"/>
      <c r="S30" s="133">
        <f>VLOOKUP($E30,R.VL_DEQResourcesInvolved,2,FALSE)</f>
        <v>0</v>
      </c>
      <c r="T30" s="121">
        <f>VLOOKUP($E30,R.VL_DEQResourcesInvolved,3,FALSE)</f>
        <v>0</v>
      </c>
      <c r="U30" s="121">
        <f>IF(S30=10,T30,VLOOKUP($E30,R.VL_DEQResourcesInvolved,4,FALSE))</f>
        <v>0</v>
      </c>
      <c r="V30" s="128"/>
      <c r="W30" s="128"/>
      <c r="X30" s="575" t="s">
        <v>554</v>
      </c>
      <c r="Y30" s="436"/>
      <c r="Z30" s="436"/>
      <c r="AA30" s="436"/>
      <c r="AB30" s="64"/>
      <c r="AC30" s="64"/>
      <c r="AD30" s="64"/>
      <c r="AE30" s="64"/>
      <c r="AF30" s="130"/>
      <c r="AG30" s="130"/>
      <c r="AH30" s="130"/>
      <c r="AI30" s="130"/>
    </row>
    <row r="31" spans="1:35" s="28" customFormat="1" ht="15.75" hidden="1" customHeight="1" outlineLevel="1">
      <c r="A31" s="345"/>
      <c r="B31" s="334"/>
      <c r="C31" s="138"/>
      <c r="D31" s="36"/>
      <c r="E31" s="30" t="s">
        <v>229</v>
      </c>
      <c r="F31" s="71">
        <v>1</v>
      </c>
      <c r="G31" s="72">
        <v>2</v>
      </c>
      <c r="H31" s="73">
        <v>3</v>
      </c>
      <c r="I31" s="74">
        <v>4</v>
      </c>
      <c r="J31" s="75">
        <v>5</v>
      </c>
      <c r="K31" s="76">
        <v>6</v>
      </c>
      <c r="L31" s="77">
        <v>7</v>
      </c>
      <c r="M31" s="78">
        <v>8</v>
      </c>
      <c r="N31" s="79">
        <v>9</v>
      </c>
      <c r="O31" s="80">
        <v>10</v>
      </c>
      <c r="P31" s="32" t="s">
        <v>0</v>
      </c>
      <c r="Q31" s="139"/>
      <c r="R31" s="334"/>
      <c r="S31" s="133">
        <f>VLOOKUP($E31,R.VL_DEQResourcesInvolved,2,FALSE)</f>
        <v>0</v>
      </c>
      <c r="T31" s="121">
        <f>VLOOKUP($E31,R.VL_DEQResourcesInvolved,3,FALSE)</f>
        <v>0</v>
      </c>
      <c r="U31" s="121">
        <f>IF(S31=10,T31,VLOOKUP($E31,R.VL_DEQResourcesInvolved,4,FALSE))</f>
        <v>0</v>
      </c>
      <c r="V31" s="128"/>
      <c r="W31" s="128"/>
      <c r="X31" s="436"/>
      <c r="Y31" s="436"/>
      <c r="Z31" s="436"/>
      <c r="AA31" s="436"/>
      <c r="AB31" s="64"/>
      <c r="AC31" s="64"/>
      <c r="AD31" s="64"/>
      <c r="AE31" s="64"/>
      <c r="AF31" s="130"/>
      <c r="AG31" s="130"/>
      <c r="AH31" s="130"/>
      <c r="AI31" s="130"/>
    </row>
    <row r="32" spans="1:35" s="28" customFormat="1" ht="15.75" hidden="1" customHeight="1" outlineLevel="1">
      <c r="A32" s="345"/>
      <c r="B32" s="334"/>
      <c r="C32" s="138"/>
      <c r="D32" s="36"/>
      <c r="E32" s="30" t="s">
        <v>229</v>
      </c>
      <c r="F32" s="71">
        <v>1</v>
      </c>
      <c r="G32" s="72">
        <v>2</v>
      </c>
      <c r="H32" s="73">
        <v>3</v>
      </c>
      <c r="I32" s="74">
        <v>4</v>
      </c>
      <c r="J32" s="75">
        <v>5</v>
      </c>
      <c r="K32" s="76">
        <v>6</v>
      </c>
      <c r="L32" s="77">
        <v>7</v>
      </c>
      <c r="M32" s="78">
        <v>8</v>
      </c>
      <c r="N32" s="79">
        <v>9</v>
      </c>
      <c r="O32" s="80">
        <v>10</v>
      </c>
      <c r="P32" s="32" t="s">
        <v>0</v>
      </c>
      <c r="Q32" s="139"/>
      <c r="R32" s="334"/>
      <c r="S32" s="133">
        <f>VLOOKUP($E32,R.VL_DEQResourcesInvolved,2,FALSE)</f>
        <v>0</v>
      </c>
      <c r="T32" s="121">
        <f>VLOOKUP($E32,R.VL_DEQResourcesInvolved,3,FALSE)</f>
        <v>0</v>
      </c>
      <c r="U32" s="121">
        <f>IF(S32=10,T32,VLOOKUP($E32,R.VL_DEQResourcesInvolved,4,FALSE))</f>
        <v>0</v>
      </c>
      <c r="V32" s="128"/>
      <c r="W32" s="128"/>
      <c r="X32" s="436"/>
      <c r="Y32" s="436"/>
      <c r="Z32" s="436"/>
      <c r="AA32" s="436"/>
      <c r="AB32" s="64"/>
      <c r="AC32" s="64"/>
      <c r="AD32" s="64"/>
      <c r="AE32" s="64"/>
      <c r="AF32" s="130"/>
      <c r="AG32" s="130"/>
      <c r="AH32" s="130"/>
      <c r="AI32" s="130"/>
    </row>
    <row r="33" spans="1:35" s="28" customFormat="1" ht="15.75" hidden="1" customHeight="1" outlineLevel="1">
      <c r="A33" s="345"/>
      <c r="B33" s="334"/>
      <c r="C33" s="138"/>
      <c r="D33" s="36"/>
      <c r="E33" s="30" t="s">
        <v>229</v>
      </c>
      <c r="F33" s="71">
        <v>1</v>
      </c>
      <c r="G33" s="72">
        <v>2</v>
      </c>
      <c r="H33" s="73">
        <v>3</v>
      </c>
      <c r="I33" s="74">
        <v>4</v>
      </c>
      <c r="J33" s="75">
        <v>5</v>
      </c>
      <c r="K33" s="76">
        <v>6</v>
      </c>
      <c r="L33" s="77">
        <v>7</v>
      </c>
      <c r="M33" s="78">
        <v>8</v>
      </c>
      <c r="N33" s="79">
        <v>9</v>
      </c>
      <c r="O33" s="80">
        <v>10</v>
      </c>
      <c r="P33" s="32" t="s">
        <v>0</v>
      </c>
      <c r="Q33" s="139"/>
      <c r="R33" s="334"/>
      <c r="S33" s="133">
        <f>VLOOKUP($E33,R.VL_DEQResourcesInvolved,2,FALSE)</f>
        <v>0</v>
      </c>
      <c r="T33" s="121">
        <f>VLOOKUP($E33,R.VL_DEQResourcesInvolved,3,FALSE)</f>
        <v>0</v>
      </c>
      <c r="U33" s="121">
        <f>IF(S33=10,T33,VLOOKUP($E33,R.VL_DEQResourcesInvolved,4,FALSE))</f>
        <v>0</v>
      </c>
      <c r="V33" s="511" t="str">
        <f>SUM(T30:T33)&amp;"-"&amp;SUM(U30:U33)</f>
        <v>0-0</v>
      </c>
      <c r="W33" s="128"/>
      <c r="X33" s="436"/>
      <c r="Y33" s="436"/>
      <c r="Z33" s="436"/>
      <c r="AA33" s="436"/>
      <c r="AB33" s="64"/>
      <c r="AC33" s="64"/>
      <c r="AD33" s="64"/>
      <c r="AE33" s="64"/>
      <c r="AF33" s="130"/>
      <c r="AG33" s="130"/>
      <c r="AH33" s="130"/>
      <c r="AI33" s="130"/>
    </row>
    <row r="34" spans="1:35" s="28" customFormat="1" ht="15.75" customHeight="1" collapsed="1">
      <c r="A34" s="345"/>
      <c r="B34" s="334"/>
      <c r="C34" s="142"/>
      <c r="D34" s="443" t="s">
        <v>52</v>
      </c>
      <c r="E34" s="31"/>
      <c r="F34" s="31"/>
      <c r="G34" s="31"/>
      <c r="H34" s="31"/>
      <c r="I34" s="31"/>
      <c r="J34" s="31"/>
      <c r="K34" s="31"/>
      <c r="L34" s="31"/>
      <c r="M34" s="31"/>
      <c r="N34" s="31"/>
      <c r="O34" s="31"/>
      <c r="P34" s="31"/>
      <c r="Q34" s="143"/>
      <c r="R34" s="334"/>
      <c r="S34" s="132"/>
      <c r="T34" s="131"/>
      <c r="U34" s="131"/>
      <c r="W34" s="131"/>
      <c r="X34" s="436"/>
      <c r="Y34" s="436"/>
      <c r="Z34" s="436"/>
      <c r="AA34" s="436"/>
      <c r="AB34" s="64"/>
      <c r="AC34" s="64"/>
      <c r="AD34" s="64"/>
      <c r="AE34" s="64"/>
      <c r="AF34" s="130"/>
      <c r="AG34" s="130"/>
      <c r="AH34" s="130"/>
      <c r="AI34" s="130"/>
    </row>
    <row r="35" spans="1:35" s="28" customFormat="1" ht="15.75" customHeight="1">
      <c r="A35" s="345"/>
      <c r="B35" s="334"/>
      <c r="C35" s="138"/>
      <c r="D35" s="724"/>
      <c r="E35" s="725"/>
      <c r="F35" s="725"/>
      <c r="G35" s="725"/>
      <c r="H35" s="725"/>
      <c r="I35" s="725"/>
      <c r="J35" s="725"/>
      <c r="K35" s="725"/>
      <c r="L35" s="725"/>
      <c r="M35" s="725"/>
      <c r="N35" s="725"/>
      <c r="O35" s="725"/>
      <c r="P35" s="726"/>
      <c r="Q35" s="139"/>
      <c r="R35" s="334"/>
      <c r="S35" s="132" t="s">
        <v>0</v>
      </c>
      <c r="T35" s="131"/>
      <c r="U35" s="131"/>
      <c r="V35" s="131"/>
      <c r="W35" s="131"/>
      <c r="X35" s="436"/>
      <c r="Y35" s="436"/>
      <c r="Z35" s="436"/>
      <c r="AA35" s="436"/>
      <c r="AB35" s="64"/>
      <c r="AC35" s="64"/>
      <c r="AD35" s="64"/>
      <c r="AE35" s="64"/>
      <c r="AF35" s="130"/>
      <c r="AG35" s="130"/>
      <c r="AH35" s="130"/>
      <c r="AI35" s="130"/>
    </row>
    <row r="36" spans="1:35" s="33" customFormat="1" ht="15.75" customHeight="1">
      <c r="A36" s="344"/>
      <c r="B36" s="334"/>
      <c r="C36" s="232"/>
      <c r="D36" s="442" t="s">
        <v>60</v>
      </c>
      <c r="E36" s="292" t="s">
        <v>18</v>
      </c>
      <c r="F36" s="292" t="s">
        <v>19</v>
      </c>
      <c r="G36" s="292"/>
      <c r="H36" s="292"/>
      <c r="I36" s="292"/>
      <c r="J36" s="292"/>
      <c r="K36" s="292"/>
      <c r="L36" s="292"/>
      <c r="M36" s="292"/>
      <c r="N36" s="292"/>
      <c r="O36" s="292"/>
      <c r="P36" s="292" t="s">
        <v>20</v>
      </c>
      <c r="Q36" s="137"/>
      <c r="R36" s="334"/>
      <c r="S36" s="228"/>
      <c r="T36" s="229"/>
      <c r="U36" s="229"/>
      <c r="V36" s="229"/>
      <c r="W36" s="229"/>
      <c r="X36" s="230"/>
      <c r="Y36" s="230"/>
      <c r="Z36" s="230"/>
      <c r="AA36" s="230"/>
      <c r="AB36" s="230"/>
      <c r="AC36" s="230"/>
      <c r="AD36" s="230"/>
      <c r="AE36" s="230"/>
      <c r="AF36" s="127"/>
      <c r="AG36" s="127"/>
      <c r="AH36" s="127"/>
      <c r="AI36" s="127"/>
    </row>
    <row r="37" spans="1:35" s="28" customFormat="1" ht="15.75" customHeight="1">
      <c r="A37" s="345"/>
      <c r="B37" s="334"/>
      <c r="C37" s="138"/>
      <c r="D37" s="36" t="s">
        <v>0</v>
      </c>
      <c r="E37" s="30" t="s">
        <v>229</v>
      </c>
      <c r="F37" s="71">
        <v>1</v>
      </c>
      <c r="G37" s="72">
        <v>2</v>
      </c>
      <c r="H37" s="73">
        <v>3</v>
      </c>
      <c r="I37" s="74">
        <v>4</v>
      </c>
      <c r="J37" s="75">
        <v>5</v>
      </c>
      <c r="K37" s="76">
        <v>6</v>
      </c>
      <c r="L37" s="77">
        <v>7</v>
      </c>
      <c r="M37" s="78">
        <v>8</v>
      </c>
      <c r="N37" s="79">
        <v>9</v>
      </c>
      <c r="O37" s="80">
        <v>10</v>
      </c>
      <c r="P37" s="32" t="s">
        <v>0</v>
      </c>
      <c r="Q37" s="139"/>
      <c r="R37" s="334"/>
      <c r="S37" s="133">
        <f>VLOOKUP($E37,R.VL_DEQResourcesInvolved,2,FALSE)</f>
        <v>0</v>
      </c>
      <c r="T37" s="121">
        <f>VLOOKUP($E37,R.VL_DEQResourcesInvolved,3,FALSE)</f>
        <v>0</v>
      </c>
      <c r="U37" s="121">
        <f>IF(S37=10,T37,VLOOKUP($E37,R.VL_DEQResourcesInvolved,4,FALSE))</f>
        <v>0</v>
      </c>
      <c r="V37" s="128"/>
      <c r="W37" s="128"/>
      <c r="X37" s="575" t="s">
        <v>554</v>
      </c>
      <c r="Y37" s="436"/>
      <c r="Z37" s="436"/>
      <c r="AA37" s="436"/>
      <c r="AB37" s="64"/>
      <c r="AC37" s="64"/>
      <c r="AD37" s="64"/>
      <c r="AE37" s="64"/>
      <c r="AF37" s="130"/>
      <c r="AG37" s="130"/>
      <c r="AH37" s="130"/>
      <c r="AI37" s="130"/>
    </row>
    <row r="38" spans="1:35" s="28" customFormat="1" ht="15.75" hidden="1" customHeight="1" outlineLevel="1">
      <c r="A38" s="345"/>
      <c r="B38" s="334"/>
      <c r="C38" s="138"/>
      <c r="D38" s="36" t="s">
        <v>0</v>
      </c>
      <c r="E38" s="30" t="s">
        <v>229</v>
      </c>
      <c r="F38" s="71">
        <v>1</v>
      </c>
      <c r="G38" s="72">
        <v>2</v>
      </c>
      <c r="H38" s="73">
        <v>3</v>
      </c>
      <c r="I38" s="74">
        <v>4</v>
      </c>
      <c r="J38" s="75">
        <v>5</v>
      </c>
      <c r="K38" s="76">
        <v>6</v>
      </c>
      <c r="L38" s="77">
        <v>7</v>
      </c>
      <c r="M38" s="78">
        <v>8</v>
      </c>
      <c r="N38" s="79">
        <v>9</v>
      </c>
      <c r="O38" s="80">
        <v>10</v>
      </c>
      <c r="P38" s="32" t="s">
        <v>0</v>
      </c>
      <c r="Q38" s="139"/>
      <c r="R38" s="334"/>
      <c r="S38" s="133">
        <f>VLOOKUP($E38,R.VL_DEQResourcesInvolved,2,FALSE)</f>
        <v>0</v>
      </c>
      <c r="T38" s="121">
        <f>VLOOKUP($E38,R.VL_DEQResourcesInvolved,3,FALSE)</f>
        <v>0</v>
      </c>
      <c r="U38" s="121">
        <f>IF(S38=10,T38,VLOOKUP($E38,R.VL_DEQResourcesInvolved,4,FALSE))</f>
        <v>0</v>
      </c>
      <c r="V38" s="128"/>
      <c r="W38" s="128"/>
      <c r="X38" s="436"/>
      <c r="Y38" s="436"/>
      <c r="Z38" s="436"/>
      <c r="AA38" s="436"/>
      <c r="AB38" s="64"/>
      <c r="AC38" s="64"/>
      <c r="AD38" s="64"/>
      <c r="AE38" s="64"/>
      <c r="AF38" s="130"/>
      <c r="AG38" s="130"/>
      <c r="AH38" s="130"/>
      <c r="AI38" s="130"/>
    </row>
    <row r="39" spans="1:35" s="28" customFormat="1" ht="15.75" hidden="1" customHeight="1" outlineLevel="1">
      <c r="A39" s="345"/>
      <c r="B39" s="334"/>
      <c r="C39" s="138"/>
      <c r="D39" s="36" t="s">
        <v>0</v>
      </c>
      <c r="E39" s="30" t="s">
        <v>229</v>
      </c>
      <c r="F39" s="71">
        <v>1</v>
      </c>
      <c r="G39" s="72">
        <v>2</v>
      </c>
      <c r="H39" s="73">
        <v>3</v>
      </c>
      <c r="I39" s="74">
        <v>4</v>
      </c>
      <c r="J39" s="75">
        <v>5</v>
      </c>
      <c r="K39" s="76">
        <v>6</v>
      </c>
      <c r="L39" s="77">
        <v>7</v>
      </c>
      <c r="M39" s="78">
        <v>8</v>
      </c>
      <c r="N39" s="79">
        <v>9</v>
      </c>
      <c r="O39" s="80">
        <v>10</v>
      </c>
      <c r="P39" s="32" t="s">
        <v>0</v>
      </c>
      <c r="Q39" s="139"/>
      <c r="R39" s="334"/>
      <c r="S39" s="133">
        <f>VLOOKUP($E39,R.VL_DEQResourcesInvolved,2,FALSE)</f>
        <v>0</v>
      </c>
      <c r="T39" s="121">
        <f>VLOOKUP($E39,R.VL_DEQResourcesInvolved,3,FALSE)</f>
        <v>0</v>
      </c>
      <c r="U39" s="121">
        <f>IF(S39=10,T39,VLOOKUP($E39,R.VL_DEQResourcesInvolved,4,FALSE))</f>
        <v>0</v>
      </c>
      <c r="V39" s="128"/>
      <c r="W39" s="128"/>
      <c r="X39" s="436"/>
      <c r="Y39" s="436"/>
      <c r="Z39" s="436"/>
      <c r="AA39" s="436"/>
      <c r="AB39" s="64"/>
      <c r="AC39" s="64"/>
      <c r="AD39" s="64"/>
      <c r="AE39" s="64"/>
      <c r="AF39" s="130"/>
      <c r="AG39" s="130"/>
      <c r="AH39" s="130"/>
      <c r="AI39" s="130"/>
    </row>
    <row r="40" spans="1:35" s="28" customFormat="1" ht="15.75" hidden="1" customHeight="1" outlineLevel="1" thickBot="1">
      <c r="A40" s="345"/>
      <c r="B40" s="334"/>
      <c r="C40" s="138"/>
      <c r="D40" s="36" t="s">
        <v>0</v>
      </c>
      <c r="E40" s="30" t="s">
        <v>229</v>
      </c>
      <c r="F40" s="71">
        <v>1</v>
      </c>
      <c r="G40" s="72">
        <v>2</v>
      </c>
      <c r="H40" s="73">
        <v>3</v>
      </c>
      <c r="I40" s="74">
        <v>4</v>
      </c>
      <c r="J40" s="75">
        <v>5</v>
      </c>
      <c r="K40" s="76">
        <v>6</v>
      </c>
      <c r="L40" s="77">
        <v>7</v>
      </c>
      <c r="M40" s="78">
        <v>8</v>
      </c>
      <c r="N40" s="79">
        <v>9</v>
      </c>
      <c r="O40" s="80">
        <v>10</v>
      </c>
      <c r="P40" s="32" t="s">
        <v>0</v>
      </c>
      <c r="Q40" s="139"/>
      <c r="R40" s="334"/>
      <c r="S40" s="133">
        <f>VLOOKUP($E40,R.VL_DEQResourcesInvolved,2,FALSE)</f>
        <v>0</v>
      </c>
      <c r="T40" s="121">
        <f>VLOOKUP($E40,R.VL_DEQResourcesInvolved,3,FALSE)</f>
        <v>0</v>
      </c>
      <c r="U40" s="121">
        <f>IF(S40=10,T40,VLOOKUP($E40,R.VL_DEQResourcesInvolved,4,FALSE))</f>
        <v>0</v>
      </c>
      <c r="V40" s="511" t="str">
        <f>SUM(T37:T40)&amp;"-"&amp;SUM(U37:U40)</f>
        <v>0-0</v>
      </c>
      <c r="W40" s="512" t="str">
        <f>SUM(T30:T40)&amp;"-"&amp;SUM(U30:U40)</f>
        <v>0-0</v>
      </c>
      <c r="X40" s="436"/>
      <c r="Y40" s="436"/>
      <c r="Z40" s="436"/>
      <c r="AA40" s="436"/>
      <c r="AB40" s="64"/>
      <c r="AC40" s="64"/>
      <c r="AD40" s="64"/>
      <c r="AE40" s="64"/>
      <c r="AF40" s="130"/>
      <c r="AG40" s="130"/>
      <c r="AH40" s="130"/>
      <c r="AI40" s="130"/>
    </row>
    <row r="41" spans="1:35" s="28" customFormat="1" ht="12.75" customHeight="1" collapsed="1">
      <c r="A41" s="345"/>
      <c r="B41" s="334"/>
      <c r="C41" s="138"/>
      <c r="D41" s="479"/>
      <c r="E41" s="723"/>
      <c r="F41" s="723"/>
      <c r="G41" s="723"/>
      <c r="H41" s="723"/>
      <c r="I41" s="723"/>
      <c r="J41" s="723"/>
      <c r="K41" s="723"/>
      <c r="L41" s="723"/>
      <c r="M41" s="723"/>
      <c r="N41" s="723"/>
      <c r="O41" s="723"/>
      <c r="P41" s="723"/>
      <c r="Q41" s="139"/>
      <c r="R41" s="334"/>
      <c r="S41" s="132"/>
      <c r="T41" s="134"/>
      <c r="U41" s="134"/>
      <c r="W41" s="134"/>
      <c r="X41" s="436"/>
      <c r="Y41" s="436"/>
      <c r="Z41" s="436"/>
      <c r="AA41" s="436"/>
      <c r="AB41" s="436"/>
      <c r="AC41" s="436"/>
      <c r="AD41" s="436"/>
      <c r="AE41" s="436"/>
      <c r="AF41" s="130"/>
      <c r="AG41" s="130"/>
      <c r="AH41" s="130"/>
      <c r="AI41" s="130"/>
    </row>
    <row r="42" spans="1:35" s="28" customFormat="1" ht="14.25" customHeight="1">
      <c r="A42" s="345"/>
      <c r="B42" s="334"/>
      <c r="C42" s="376"/>
      <c r="D42" s="377"/>
      <c r="E42" s="718"/>
      <c r="F42" s="718"/>
      <c r="G42" s="718"/>
      <c r="H42" s="718"/>
      <c r="I42" s="718"/>
      <c r="J42" s="718"/>
      <c r="K42" s="718"/>
      <c r="L42" s="718"/>
      <c r="M42" s="718"/>
      <c r="N42" s="718"/>
      <c r="O42" s="718"/>
      <c r="P42" s="718"/>
      <c r="Q42" s="379"/>
      <c r="R42" s="334"/>
      <c r="S42" s="132"/>
      <c r="T42" s="131"/>
      <c r="U42" s="131"/>
      <c r="V42" s="131"/>
      <c r="W42" s="131"/>
      <c r="X42" s="436"/>
      <c r="Y42" s="436"/>
      <c r="Z42" s="436"/>
      <c r="AA42" s="436"/>
      <c r="AB42" s="64"/>
      <c r="AC42" s="64"/>
      <c r="AD42" s="64"/>
      <c r="AE42" s="64"/>
      <c r="AF42" s="130"/>
      <c r="AG42" s="130"/>
      <c r="AH42" s="130"/>
      <c r="AI42" s="130"/>
    </row>
    <row r="43" spans="1:35" s="33" customFormat="1" ht="30" customHeight="1">
      <c r="A43" s="350" t="s">
        <v>107</v>
      </c>
      <c r="B43" s="334"/>
      <c r="C43" s="480" t="s">
        <v>0</v>
      </c>
      <c r="D43" s="304" t="s">
        <v>127</v>
      </c>
      <c r="E43" s="94"/>
      <c r="F43" s="94"/>
      <c r="G43" s="94"/>
      <c r="H43" s="94"/>
      <c r="I43" s="94"/>
      <c r="J43" s="94"/>
      <c r="K43" s="94"/>
      <c r="L43" s="94"/>
      <c r="M43" s="94"/>
      <c r="N43" s="94"/>
      <c r="O43" s="94"/>
      <c r="P43" s="94"/>
      <c r="Q43" s="137"/>
      <c r="R43" s="334"/>
      <c r="S43" s="134"/>
      <c r="T43" s="131" t="s">
        <v>0</v>
      </c>
      <c r="U43" s="131"/>
      <c r="V43" s="131"/>
      <c r="W43" s="131"/>
      <c r="X43" s="129"/>
      <c r="Y43" s="129"/>
      <c r="Z43" s="129"/>
      <c r="AA43" s="129"/>
      <c r="AB43" s="129"/>
      <c r="AC43" s="129"/>
      <c r="AD43" s="129"/>
      <c r="AE43" s="129"/>
      <c r="AF43" s="127"/>
      <c r="AG43" s="127"/>
      <c r="AH43" s="127"/>
      <c r="AI43" s="127"/>
    </row>
    <row r="44" spans="1:35" s="33" customFormat="1" ht="14.25" customHeight="1">
      <c r="A44" s="344"/>
      <c r="B44" s="334"/>
      <c r="C44" s="232"/>
      <c r="D44" s="443" t="s">
        <v>53</v>
      </c>
      <c r="E44" s="94"/>
      <c r="F44" s="94"/>
      <c r="G44" s="94"/>
      <c r="H44" s="94"/>
      <c r="I44" s="94"/>
      <c r="J44" s="94"/>
      <c r="K44" s="94"/>
      <c r="L44" s="94"/>
      <c r="M44" s="94"/>
      <c r="N44" s="94"/>
      <c r="O44" s="94"/>
      <c r="P44" s="94"/>
      <c r="Q44" s="137"/>
      <c r="R44" s="334"/>
      <c r="S44" s="235"/>
      <c r="T44" s="229"/>
      <c r="U44" s="229"/>
      <c r="V44" s="229"/>
      <c r="W44" s="229"/>
      <c r="X44" s="230"/>
      <c r="Y44" s="230"/>
      <c r="Z44" s="230"/>
      <c r="AA44" s="230"/>
      <c r="AB44" s="230"/>
      <c r="AC44" s="230"/>
      <c r="AD44" s="230"/>
      <c r="AE44" s="230"/>
      <c r="AF44" s="127"/>
      <c r="AG44" s="127"/>
      <c r="AH44" s="127"/>
      <c r="AI44" s="127"/>
    </row>
    <row r="45" spans="1:35" s="28" customFormat="1" ht="15.75" customHeight="1">
      <c r="A45" s="345"/>
      <c r="B45" s="334"/>
      <c r="C45" s="138"/>
      <c r="D45" s="719"/>
      <c r="E45" s="720"/>
      <c r="F45" s="720"/>
      <c r="G45" s="720"/>
      <c r="H45" s="720"/>
      <c r="I45" s="720"/>
      <c r="J45" s="720"/>
      <c r="K45" s="720"/>
      <c r="L45" s="720"/>
      <c r="M45" s="720"/>
      <c r="N45" s="720"/>
      <c r="O45" s="720"/>
      <c r="P45" s="721"/>
      <c r="Q45" s="139"/>
      <c r="R45" s="334"/>
      <c r="S45" s="132" t="s">
        <v>0</v>
      </c>
      <c r="T45" s="131"/>
      <c r="U45" s="131"/>
      <c r="V45" s="131"/>
      <c r="W45" s="131"/>
      <c r="X45" s="436"/>
      <c r="Y45" s="436"/>
      <c r="Z45" s="436"/>
      <c r="AA45" s="436"/>
      <c r="AB45" s="64"/>
      <c r="AC45" s="64"/>
      <c r="AD45" s="64"/>
      <c r="AE45" s="64"/>
      <c r="AF45" s="130"/>
      <c r="AG45" s="130"/>
      <c r="AH45" s="130"/>
      <c r="AI45" s="130"/>
    </row>
    <row r="46" spans="1:35" s="33" customFormat="1" ht="15.75" customHeight="1">
      <c r="A46" s="344"/>
      <c r="B46" s="334"/>
      <c r="C46" s="232"/>
      <c r="D46" s="442" t="s">
        <v>60</v>
      </c>
      <c r="E46" s="292" t="s">
        <v>18</v>
      </c>
      <c r="F46" s="722" t="s">
        <v>19</v>
      </c>
      <c r="G46" s="722"/>
      <c r="H46" s="722"/>
      <c r="I46" s="722"/>
      <c r="J46" s="722"/>
      <c r="K46" s="722"/>
      <c r="L46" s="722"/>
      <c r="M46" s="722"/>
      <c r="N46" s="722"/>
      <c r="O46" s="722"/>
      <c r="P46" s="292" t="s">
        <v>20</v>
      </c>
      <c r="Q46" s="137"/>
      <c r="R46" s="334"/>
      <c r="S46" s="228"/>
      <c r="T46" s="229"/>
      <c r="U46" s="229"/>
      <c r="V46" s="229"/>
      <c r="W46" s="229"/>
      <c r="X46" s="230"/>
      <c r="Y46" s="230"/>
      <c r="Z46" s="230"/>
      <c r="AA46" s="230"/>
      <c r="AB46" s="230"/>
      <c r="AC46" s="230"/>
      <c r="AD46" s="230"/>
      <c r="AE46" s="230"/>
      <c r="AF46" s="127"/>
      <c r="AG46" s="127"/>
      <c r="AH46" s="127"/>
      <c r="AI46" s="127"/>
    </row>
    <row r="47" spans="1:35" s="28" customFormat="1" ht="15.75" customHeight="1">
      <c r="A47" s="345"/>
      <c r="B47" s="334"/>
      <c r="C47" s="138"/>
      <c r="D47" s="36" t="s">
        <v>0</v>
      </c>
      <c r="E47" s="30" t="s">
        <v>229</v>
      </c>
      <c r="F47" s="71">
        <v>1</v>
      </c>
      <c r="G47" s="72">
        <v>2</v>
      </c>
      <c r="H47" s="73">
        <v>3</v>
      </c>
      <c r="I47" s="74">
        <v>4</v>
      </c>
      <c r="J47" s="75">
        <v>5</v>
      </c>
      <c r="K47" s="76">
        <v>6</v>
      </c>
      <c r="L47" s="77">
        <v>7</v>
      </c>
      <c r="M47" s="78">
        <v>8</v>
      </c>
      <c r="N47" s="79">
        <v>9</v>
      </c>
      <c r="O47" s="80">
        <v>10</v>
      </c>
      <c r="P47" s="32" t="s">
        <v>0</v>
      </c>
      <c r="Q47" s="139"/>
      <c r="R47" s="334"/>
      <c r="S47" s="133">
        <f>VLOOKUP($E47,R.VL_DEQResourcesInvolved,2,FALSE)</f>
        <v>0</v>
      </c>
      <c r="T47" s="121">
        <f>VLOOKUP($E47,R.VL_DEQResourcesInvolved,3,FALSE)</f>
        <v>0</v>
      </c>
      <c r="U47" s="121">
        <f>IF(S47=10,T47,VLOOKUP($E47,R.VL_DEQResourcesInvolved,4,FALSE))</f>
        <v>0</v>
      </c>
      <c r="V47" s="128"/>
      <c r="W47" s="128"/>
      <c r="X47" s="575" t="s">
        <v>554</v>
      </c>
      <c r="Y47" s="436"/>
      <c r="Z47" s="436"/>
      <c r="AA47" s="436"/>
      <c r="AB47" s="64"/>
      <c r="AC47" s="64"/>
      <c r="AD47" s="64"/>
      <c r="AE47" s="64"/>
      <c r="AF47" s="130"/>
      <c r="AG47" s="130"/>
      <c r="AH47" s="130"/>
      <c r="AI47" s="130"/>
    </row>
    <row r="48" spans="1:35" s="28" customFormat="1" ht="15.75" hidden="1" customHeight="1" outlineLevel="1">
      <c r="A48" s="345"/>
      <c r="B48" s="334"/>
      <c r="C48" s="138"/>
      <c r="D48" s="36" t="s">
        <v>0</v>
      </c>
      <c r="E48" s="30" t="s">
        <v>229</v>
      </c>
      <c r="F48" s="71">
        <v>1</v>
      </c>
      <c r="G48" s="72">
        <v>2</v>
      </c>
      <c r="H48" s="73">
        <v>3</v>
      </c>
      <c r="I48" s="74">
        <v>4</v>
      </c>
      <c r="J48" s="75">
        <v>5</v>
      </c>
      <c r="K48" s="76">
        <v>6</v>
      </c>
      <c r="L48" s="77">
        <v>7</v>
      </c>
      <c r="M48" s="78">
        <v>8</v>
      </c>
      <c r="N48" s="79">
        <v>9</v>
      </c>
      <c r="O48" s="80">
        <v>10</v>
      </c>
      <c r="P48" s="32" t="s">
        <v>0</v>
      </c>
      <c r="Q48" s="139"/>
      <c r="R48" s="334"/>
      <c r="S48" s="133">
        <f>VLOOKUP($E48,R.VL_DEQResourcesInvolved,2,FALSE)</f>
        <v>0</v>
      </c>
      <c r="T48" s="121">
        <f>VLOOKUP($E48,R.VL_DEQResourcesInvolved,3,FALSE)</f>
        <v>0</v>
      </c>
      <c r="U48" s="121">
        <f>IF(S48=10,T48,VLOOKUP($E48,R.VL_DEQResourcesInvolved,4,FALSE))</f>
        <v>0</v>
      </c>
      <c r="V48" s="128"/>
      <c r="W48" s="128"/>
      <c r="X48" s="436"/>
      <c r="Y48" s="436"/>
      <c r="Z48" s="436"/>
      <c r="AA48" s="436"/>
      <c r="AB48" s="64"/>
      <c r="AC48" s="64"/>
      <c r="AD48" s="64"/>
      <c r="AE48" s="64"/>
      <c r="AF48" s="130"/>
      <c r="AG48" s="130"/>
      <c r="AH48" s="130"/>
      <c r="AI48" s="130"/>
    </row>
    <row r="49" spans="1:35" s="28" customFormat="1" ht="15.75" hidden="1" customHeight="1" outlineLevel="1">
      <c r="A49" s="345"/>
      <c r="B49" s="334"/>
      <c r="C49" s="138"/>
      <c r="D49" s="36" t="s">
        <v>0</v>
      </c>
      <c r="E49" s="30" t="s">
        <v>229</v>
      </c>
      <c r="F49" s="71">
        <v>1</v>
      </c>
      <c r="G49" s="72">
        <v>2</v>
      </c>
      <c r="H49" s="73">
        <v>3</v>
      </c>
      <c r="I49" s="74">
        <v>4</v>
      </c>
      <c r="J49" s="75">
        <v>5</v>
      </c>
      <c r="K49" s="76">
        <v>6</v>
      </c>
      <c r="L49" s="77">
        <v>7</v>
      </c>
      <c r="M49" s="78">
        <v>8</v>
      </c>
      <c r="N49" s="79">
        <v>9</v>
      </c>
      <c r="O49" s="80">
        <v>10</v>
      </c>
      <c r="P49" s="32" t="s">
        <v>0</v>
      </c>
      <c r="Q49" s="139"/>
      <c r="R49" s="334"/>
      <c r="S49" s="133">
        <f>VLOOKUP($E49,R.VL_DEQResourcesInvolved,2,FALSE)</f>
        <v>0</v>
      </c>
      <c r="T49" s="121">
        <f>VLOOKUP($E49,R.VL_DEQResourcesInvolved,3,FALSE)</f>
        <v>0</v>
      </c>
      <c r="U49" s="121">
        <f>IF(S49=10,T49,VLOOKUP($E49,R.VL_DEQResourcesInvolved,4,FALSE))</f>
        <v>0</v>
      </c>
      <c r="V49" s="128"/>
      <c r="W49" s="128"/>
      <c r="X49" s="436"/>
      <c r="Y49" s="436"/>
      <c r="Z49" s="436"/>
      <c r="AA49" s="436"/>
      <c r="AB49" s="64"/>
      <c r="AC49" s="64"/>
      <c r="AD49" s="64"/>
      <c r="AE49" s="64"/>
      <c r="AF49" s="130"/>
      <c r="AG49" s="130"/>
      <c r="AH49" s="130"/>
      <c r="AI49" s="130"/>
    </row>
    <row r="50" spans="1:35" s="28" customFormat="1" ht="15.75" hidden="1" customHeight="1" outlineLevel="1">
      <c r="A50" s="345"/>
      <c r="B50" s="334"/>
      <c r="C50" s="138"/>
      <c r="D50" s="36"/>
      <c r="E50" s="30" t="s">
        <v>229</v>
      </c>
      <c r="F50" s="71">
        <v>1</v>
      </c>
      <c r="G50" s="72">
        <v>2</v>
      </c>
      <c r="H50" s="73">
        <v>3</v>
      </c>
      <c r="I50" s="74">
        <v>4</v>
      </c>
      <c r="J50" s="75">
        <v>5</v>
      </c>
      <c r="K50" s="76">
        <v>6</v>
      </c>
      <c r="L50" s="77">
        <v>7</v>
      </c>
      <c r="M50" s="78">
        <v>8</v>
      </c>
      <c r="N50" s="79">
        <v>9</v>
      </c>
      <c r="O50" s="80">
        <v>10</v>
      </c>
      <c r="P50" s="32" t="s">
        <v>0</v>
      </c>
      <c r="Q50" s="139"/>
      <c r="R50" s="334"/>
      <c r="S50" s="133">
        <f>VLOOKUP($E50,R.VL_DEQResourcesInvolved,2,FALSE)</f>
        <v>0</v>
      </c>
      <c r="T50" s="121">
        <f>VLOOKUP($E50,R.VL_DEQResourcesInvolved,3,FALSE)</f>
        <v>0</v>
      </c>
      <c r="U50" s="121">
        <f>IF(S50=10,T50,VLOOKUP($E50,R.VL_DEQResourcesInvolved,4,FALSE))</f>
        <v>0</v>
      </c>
      <c r="V50" s="511" t="str">
        <f>SUM(T47:T50)&amp;"-"&amp;SUM(U47:U50)</f>
        <v>0-0</v>
      </c>
      <c r="W50" s="128"/>
      <c r="X50" s="436"/>
      <c r="Y50" s="436"/>
      <c r="Z50" s="436"/>
      <c r="AA50" s="436"/>
      <c r="AB50" s="64"/>
      <c r="AC50" s="64"/>
      <c r="AD50" s="64"/>
      <c r="AE50" s="64"/>
      <c r="AF50" s="130"/>
      <c r="AG50" s="130"/>
      <c r="AH50" s="130"/>
      <c r="AI50" s="130"/>
    </row>
    <row r="51" spans="1:35" s="28" customFormat="1" ht="15.75" customHeight="1" collapsed="1">
      <c r="A51" s="345"/>
      <c r="B51" s="334"/>
      <c r="C51" s="245"/>
      <c r="D51" s="442" t="s">
        <v>52</v>
      </c>
      <c r="E51" s="31"/>
      <c r="F51" s="31"/>
      <c r="G51" s="31"/>
      <c r="H51" s="31"/>
      <c r="I51" s="31"/>
      <c r="J51" s="31"/>
      <c r="K51" s="31"/>
      <c r="L51" s="31"/>
      <c r="M51" s="31"/>
      <c r="N51" s="31"/>
      <c r="O51" s="31"/>
      <c r="P51" s="31"/>
      <c r="Q51" s="143"/>
      <c r="R51" s="334"/>
      <c r="S51" s="228"/>
      <c r="T51" s="229"/>
      <c r="U51" s="229"/>
      <c r="V51" s="229"/>
      <c r="W51" s="229"/>
      <c r="X51" s="236"/>
      <c r="Y51" s="236"/>
      <c r="Z51" s="236"/>
      <c r="AA51" s="236"/>
      <c r="AB51" s="236"/>
      <c r="AC51" s="236"/>
      <c r="AD51" s="236"/>
      <c r="AE51" s="236"/>
      <c r="AF51" s="130"/>
      <c r="AG51" s="130"/>
      <c r="AH51" s="130"/>
      <c r="AI51" s="130"/>
    </row>
    <row r="52" spans="1:35" s="28" customFormat="1" ht="15.75" customHeight="1">
      <c r="A52" s="345"/>
      <c r="B52" s="334"/>
      <c r="C52" s="138"/>
      <c r="D52" s="719"/>
      <c r="E52" s="720"/>
      <c r="F52" s="720"/>
      <c r="G52" s="720"/>
      <c r="H52" s="720"/>
      <c r="I52" s="720"/>
      <c r="J52" s="720"/>
      <c r="K52" s="720"/>
      <c r="L52" s="720"/>
      <c r="M52" s="720"/>
      <c r="N52" s="720"/>
      <c r="O52" s="720"/>
      <c r="P52" s="721"/>
      <c r="Q52" s="139"/>
      <c r="R52" s="334"/>
      <c r="S52" s="132" t="s">
        <v>0</v>
      </c>
      <c r="T52" s="131"/>
      <c r="U52" s="131"/>
      <c r="V52" s="131"/>
      <c r="W52" s="131"/>
      <c r="X52" s="436"/>
      <c r="Y52" s="436"/>
      <c r="Z52" s="436"/>
      <c r="AA52" s="436"/>
      <c r="AB52" s="64"/>
      <c r="AC52" s="64"/>
      <c r="AD52" s="64"/>
      <c r="AE52" s="64"/>
      <c r="AF52" s="130"/>
      <c r="AG52" s="130"/>
      <c r="AH52" s="130"/>
      <c r="AI52" s="130"/>
    </row>
    <row r="53" spans="1:35" s="33" customFormat="1" ht="15.75" customHeight="1">
      <c r="A53" s="344"/>
      <c r="B53" s="334"/>
      <c r="C53" s="232"/>
      <c r="D53" s="442" t="s">
        <v>60</v>
      </c>
      <c r="E53" s="292" t="s">
        <v>18</v>
      </c>
      <c r="F53" s="292" t="s">
        <v>19</v>
      </c>
      <c r="G53" s="292"/>
      <c r="H53" s="292"/>
      <c r="I53" s="292"/>
      <c r="J53" s="292"/>
      <c r="K53" s="292"/>
      <c r="L53" s="292"/>
      <c r="M53" s="292"/>
      <c r="N53" s="292"/>
      <c r="O53" s="292"/>
      <c r="P53" s="292" t="s">
        <v>20</v>
      </c>
      <c r="Q53" s="137"/>
      <c r="R53" s="334"/>
      <c r="S53" s="228"/>
      <c r="T53" s="229"/>
      <c r="U53" s="229"/>
      <c r="V53" s="229"/>
      <c r="W53" s="229"/>
      <c r="X53" s="230"/>
      <c r="Y53" s="230"/>
      <c r="Z53" s="230"/>
      <c r="AA53" s="230"/>
      <c r="AB53" s="230"/>
      <c r="AC53" s="230"/>
      <c r="AD53" s="230"/>
      <c r="AE53" s="230"/>
      <c r="AF53" s="127"/>
      <c r="AG53" s="127"/>
      <c r="AH53" s="127"/>
      <c r="AI53" s="127"/>
    </row>
    <row r="54" spans="1:35" s="28" customFormat="1" ht="15.75" customHeight="1">
      <c r="A54" s="345"/>
      <c r="B54" s="334"/>
      <c r="C54" s="138"/>
      <c r="D54" s="36" t="s">
        <v>0</v>
      </c>
      <c r="E54" s="30" t="s">
        <v>229</v>
      </c>
      <c r="F54" s="71">
        <v>1</v>
      </c>
      <c r="G54" s="72">
        <v>2</v>
      </c>
      <c r="H54" s="73">
        <v>3</v>
      </c>
      <c r="I54" s="74">
        <v>4</v>
      </c>
      <c r="J54" s="75">
        <v>5</v>
      </c>
      <c r="K54" s="76">
        <v>6</v>
      </c>
      <c r="L54" s="77">
        <v>7</v>
      </c>
      <c r="M54" s="78">
        <v>8</v>
      </c>
      <c r="N54" s="79">
        <v>9</v>
      </c>
      <c r="O54" s="80">
        <v>10</v>
      </c>
      <c r="P54" s="32" t="s">
        <v>0</v>
      </c>
      <c r="Q54" s="139"/>
      <c r="R54" s="334"/>
      <c r="S54" s="133">
        <f>VLOOKUP($E54,R.VL_DEQResourcesInvolved,2,FALSE)</f>
        <v>0</v>
      </c>
      <c r="T54" s="121">
        <f>VLOOKUP($E54,R.VL_DEQResourcesInvolved,3,FALSE)</f>
        <v>0</v>
      </c>
      <c r="U54" s="121">
        <f>IF(S54=10,T54,VLOOKUP($E54,R.VL_DEQResourcesInvolved,4,FALSE))</f>
        <v>0</v>
      </c>
      <c r="V54" s="128"/>
      <c r="W54" s="128"/>
      <c r="X54" s="575" t="s">
        <v>554</v>
      </c>
      <c r="Y54" s="436"/>
      <c r="Z54" s="436"/>
      <c r="AA54" s="436"/>
      <c r="AB54" s="64"/>
      <c r="AC54" s="64"/>
      <c r="AD54" s="64"/>
      <c r="AE54" s="64"/>
      <c r="AF54" s="130"/>
      <c r="AG54" s="130"/>
      <c r="AH54" s="130"/>
      <c r="AI54" s="130"/>
    </row>
    <row r="55" spans="1:35" s="28" customFormat="1" ht="15.75" hidden="1" customHeight="1" outlineLevel="1">
      <c r="A55" s="345"/>
      <c r="B55" s="334"/>
      <c r="C55" s="138"/>
      <c r="D55" s="36" t="s">
        <v>0</v>
      </c>
      <c r="E55" s="30" t="s">
        <v>229</v>
      </c>
      <c r="F55" s="71">
        <v>1</v>
      </c>
      <c r="G55" s="72">
        <v>2</v>
      </c>
      <c r="H55" s="73">
        <v>3</v>
      </c>
      <c r="I55" s="74">
        <v>4</v>
      </c>
      <c r="J55" s="75">
        <v>5</v>
      </c>
      <c r="K55" s="76">
        <v>6</v>
      </c>
      <c r="L55" s="77">
        <v>7</v>
      </c>
      <c r="M55" s="78">
        <v>8</v>
      </c>
      <c r="N55" s="79">
        <v>9</v>
      </c>
      <c r="O55" s="80">
        <v>10</v>
      </c>
      <c r="P55" s="32" t="s">
        <v>0</v>
      </c>
      <c r="Q55" s="139"/>
      <c r="R55" s="334"/>
      <c r="S55" s="133">
        <f>VLOOKUP($E55,R.VL_DEQResourcesInvolved,2,FALSE)</f>
        <v>0</v>
      </c>
      <c r="T55" s="121">
        <f>VLOOKUP($E55,R.VL_DEQResourcesInvolved,3,FALSE)</f>
        <v>0</v>
      </c>
      <c r="U55" s="121">
        <f>IF(S55=10,T55,VLOOKUP($E55,R.VL_DEQResourcesInvolved,4,FALSE))</f>
        <v>0</v>
      </c>
      <c r="V55" s="128"/>
      <c r="W55" s="128"/>
      <c r="X55" s="436"/>
      <c r="Y55" s="436"/>
      <c r="Z55" s="436"/>
      <c r="AA55" s="436"/>
      <c r="AB55" s="64"/>
      <c r="AC55" s="64"/>
      <c r="AD55" s="64"/>
      <c r="AE55" s="64"/>
      <c r="AF55" s="130"/>
      <c r="AG55" s="130"/>
      <c r="AH55" s="130"/>
      <c r="AI55" s="130"/>
    </row>
    <row r="56" spans="1:35" s="28" customFormat="1" ht="15.75" hidden="1" customHeight="1" outlineLevel="1">
      <c r="A56" s="345"/>
      <c r="B56" s="334"/>
      <c r="C56" s="138"/>
      <c r="D56" s="36" t="s">
        <v>0</v>
      </c>
      <c r="E56" s="30" t="s">
        <v>229</v>
      </c>
      <c r="F56" s="71">
        <v>1</v>
      </c>
      <c r="G56" s="72">
        <v>2</v>
      </c>
      <c r="H56" s="73">
        <v>3</v>
      </c>
      <c r="I56" s="74">
        <v>4</v>
      </c>
      <c r="J56" s="75">
        <v>5</v>
      </c>
      <c r="K56" s="76">
        <v>6</v>
      </c>
      <c r="L56" s="77">
        <v>7</v>
      </c>
      <c r="M56" s="78">
        <v>8</v>
      </c>
      <c r="N56" s="79">
        <v>9</v>
      </c>
      <c r="O56" s="80">
        <v>10</v>
      </c>
      <c r="P56" s="32" t="s">
        <v>0</v>
      </c>
      <c r="Q56" s="139"/>
      <c r="R56" s="334"/>
      <c r="S56" s="133">
        <f>VLOOKUP($E56,R.VL_DEQResourcesInvolved,2,FALSE)</f>
        <v>0</v>
      </c>
      <c r="T56" s="121">
        <f>VLOOKUP($E56,R.VL_DEQResourcesInvolved,3,FALSE)</f>
        <v>0</v>
      </c>
      <c r="U56" s="121">
        <f>IF(S56=10,T56,VLOOKUP($E56,R.VL_DEQResourcesInvolved,4,FALSE))</f>
        <v>0</v>
      </c>
      <c r="V56" s="128"/>
      <c r="W56" s="128"/>
      <c r="X56" s="436"/>
      <c r="Y56" s="436"/>
      <c r="Z56" s="436"/>
      <c r="AA56" s="436"/>
      <c r="AB56" s="64"/>
      <c r="AC56" s="64"/>
      <c r="AD56" s="64"/>
      <c r="AE56" s="64"/>
      <c r="AF56" s="130"/>
      <c r="AG56" s="130"/>
      <c r="AH56" s="130"/>
      <c r="AI56" s="130"/>
    </row>
    <row r="57" spans="1:35" s="28" customFormat="1" ht="15.75" hidden="1" customHeight="1" outlineLevel="1" thickBot="1">
      <c r="A57" s="345"/>
      <c r="B57" s="334"/>
      <c r="C57" s="138"/>
      <c r="D57" s="36" t="s">
        <v>0</v>
      </c>
      <c r="E57" s="30" t="s">
        <v>229</v>
      </c>
      <c r="F57" s="71">
        <v>1</v>
      </c>
      <c r="G57" s="72">
        <v>2</v>
      </c>
      <c r="H57" s="73">
        <v>3</v>
      </c>
      <c r="I57" s="74">
        <v>4</v>
      </c>
      <c r="J57" s="75">
        <v>5</v>
      </c>
      <c r="K57" s="76">
        <v>6</v>
      </c>
      <c r="L57" s="77">
        <v>7</v>
      </c>
      <c r="M57" s="78">
        <v>8</v>
      </c>
      <c r="N57" s="79">
        <v>9</v>
      </c>
      <c r="O57" s="80">
        <v>10</v>
      </c>
      <c r="P57" s="32" t="s">
        <v>0</v>
      </c>
      <c r="Q57" s="139"/>
      <c r="R57" s="334"/>
      <c r="S57" s="133">
        <f>VLOOKUP($E57,R.VL_DEQResourcesInvolved,2,FALSE)</f>
        <v>0</v>
      </c>
      <c r="T57" s="121">
        <f>VLOOKUP($E57,R.VL_DEQResourcesInvolved,3,FALSE)</f>
        <v>0</v>
      </c>
      <c r="U57" s="121">
        <f>IF(S57=10,T57,VLOOKUP($E57,R.VL_DEQResourcesInvolved,4,FALSE))</f>
        <v>0</v>
      </c>
      <c r="V57" s="511" t="str">
        <f>SUM(T54:T57)&amp;"-"&amp;SUM(U54:U57)</f>
        <v>0-0</v>
      </c>
      <c r="W57" s="512" t="str">
        <f>SUM(T47:T57)&amp;"-"&amp;SUM(U47:U57)</f>
        <v>0-0</v>
      </c>
      <c r="X57" s="436"/>
      <c r="Y57" s="436"/>
      <c r="Z57" s="436"/>
      <c r="AA57" s="436"/>
      <c r="AB57" s="64"/>
      <c r="AC57" s="64"/>
      <c r="AD57" s="64"/>
      <c r="AE57" s="64"/>
      <c r="AF57" s="130"/>
      <c r="AG57" s="130"/>
      <c r="AH57" s="130"/>
      <c r="AI57" s="130"/>
    </row>
    <row r="58" spans="1:35" s="28" customFormat="1" ht="8.25" customHeight="1" collapsed="1">
      <c r="A58" s="345"/>
      <c r="B58" s="334"/>
      <c r="C58" s="138"/>
      <c r="D58" s="479"/>
      <c r="E58" s="723"/>
      <c r="F58" s="723"/>
      <c r="G58" s="723"/>
      <c r="H58" s="723"/>
      <c r="I58" s="723"/>
      <c r="J58" s="723"/>
      <c r="K58" s="723"/>
      <c r="L58" s="723"/>
      <c r="M58" s="723"/>
      <c r="N58" s="723"/>
      <c r="O58" s="723"/>
      <c r="P58" s="723"/>
      <c r="Q58" s="139"/>
      <c r="R58" s="334"/>
      <c r="S58" s="132"/>
      <c r="T58" s="131"/>
      <c r="U58" s="131"/>
      <c r="V58" s="131"/>
      <c r="W58" s="131"/>
      <c r="X58" s="436"/>
      <c r="Y58" s="436"/>
      <c r="Z58" s="436"/>
      <c r="AA58" s="436"/>
      <c r="AB58" s="64"/>
      <c r="AC58" s="64"/>
      <c r="AD58" s="64"/>
      <c r="AE58" s="64"/>
      <c r="AF58" s="130"/>
      <c r="AG58" s="130"/>
      <c r="AH58" s="130"/>
      <c r="AI58" s="130"/>
    </row>
    <row r="59" spans="1:35" s="28" customFormat="1" ht="14.25" customHeight="1">
      <c r="A59" s="345"/>
      <c r="B59" s="334"/>
      <c r="C59" s="376"/>
      <c r="D59" s="377"/>
      <c r="E59" s="482"/>
      <c r="F59" s="482"/>
      <c r="G59" s="482"/>
      <c r="H59" s="482"/>
      <c r="I59" s="482"/>
      <c r="J59" s="482"/>
      <c r="K59" s="482"/>
      <c r="L59" s="482"/>
      <c r="M59" s="482"/>
      <c r="N59" s="482"/>
      <c r="O59" s="482"/>
      <c r="P59" s="482"/>
      <c r="Q59" s="379"/>
      <c r="R59" s="334"/>
      <c r="S59" s="132"/>
      <c r="T59" s="134"/>
      <c r="U59" s="134"/>
      <c r="V59" s="134"/>
      <c r="W59" s="134"/>
      <c r="X59" s="436"/>
      <c r="Y59" s="436"/>
      <c r="Z59" s="436"/>
      <c r="AA59" s="436"/>
      <c r="AB59" s="436"/>
      <c r="AC59" s="436"/>
      <c r="AD59" s="436"/>
      <c r="AE59" s="436"/>
      <c r="AF59" s="130"/>
      <c r="AG59" s="130"/>
      <c r="AH59" s="130"/>
      <c r="AI59" s="130"/>
    </row>
    <row r="60" spans="1:35" s="33" customFormat="1" ht="30" customHeight="1">
      <c r="A60" s="350" t="s">
        <v>107</v>
      </c>
      <c r="B60" s="334"/>
      <c r="C60" s="136"/>
      <c r="D60" s="381" t="s">
        <v>194</v>
      </c>
      <c r="E60" s="717" t="s">
        <v>195</v>
      </c>
      <c r="F60" s="717"/>
      <c r="G60" s="717"/>
      <c r="H60" s="717"/>
      <c r="I60" s="717"/>
      <c r="J60" s="717"/>
      <c r="K60" s="717"/>
      <c r="L60" s="717"/>
      <c r="M60" s="717"/>
      <c r="N60" s="717"/>
      <c r="O60" s="717"/>
      <c r="P60" s="717"/>
      <c r="Q60" s="137"/>
      <c r="R60" s="334"/>
      <c r="S60" s="134"/>
      <c r="T60" s="131"/>
      <c r="U60" s="131"/>
      <c r="V60" s="131"/>
      <c r="W60" s="131"/>
      <c r="X60" s="129"/>
      <c r="Y60" s="129"/>
      <c r="Z60" s="129"/>
      <c r="AA60" s="129"/>
      <c r="AB60" s="129"/>
      <c r="AC60" s="129"/>
      <c r="AD60" s="129"/>
      <c r="AE60" s="129"/>
      <c r="AF60" s="127"/>
      <c r="AG60" s="127"/>
      <c r="AH60" s="127"/>
      <c r="AI60" s="127"/>
    </row>
    <row r="61" spans="1:35" s="33" customFormat="1" ht="14.25" customHeight="1">
      <c r="A61" s="344"/>
      <c r="B61" s="334"/>
      <c r="C61" s="136"/>
      <c r="D61" s="443" t="s">
        <v>53</v>
      </c>
      <c r="E61" s="94"/>
      <c r="F61" s="94"/>
      <c r="G61" s="94"/>
      <c r="H61" s="94"/>
      <c r="I61" s="94"/>
      <c r="J61" s="94"/>
      <c r="K61" s="94"/>
      <c r="L61" s="94"/>
      <c r="M61" s="94"/>
      <c r="N61" s="94"/>
      <c r="O61" s="94"/>
      <c r="P61" s="94"/>
      <c r="Q61" s="137"/>
      <c r="R61" s="334"/>
      <c r="S61" s="134"/>
      <c r="T61" s="131"/>
      <c r="U61" s="131"/>
      <c r="V61" s="131"/>
      <c r="W61" s="131"/>
      <c r="X61" s="129"/>
      <c r="Y61" s="129"/>
      <c r="Z61" s="129"/>
      <c r="AA61" s="129"/>
      <c r="AB61" s="129"/>
      <c r="AC61" s="129"/>
      <c r="AD61" s="129"/>
      <c r="AE61" s="129"/>
      <c r="AF61" s="127"/>
      <c r="AG61" s="127"/>
      <c r="AH61" s="127"/>
      <c r="AI61" s="127"/>
    </row>
    <row r="62" spans="1:35" s="28" customFormat="1" ht="15.75" customHeight="1">
      <c r="A62" s="345"/>
      <c r="B62" s="334"/>
      <c r="C62" s="138"/>
      <c r="D62" s="719" t="s">
        <v>0</v>
      </c>
      <c r="E62" s="720"/>
      <c r="F62" s="720"/>
      <c r="G62" s="720"/>
      <c r="H62" s="720"/>
      <c r="I62" s="720"/>
      <c r="J62" s="720"/>
      <c r="K62" s="720"/>
      <c r="L62" s="720"/>
      <c r="M62" s="720"/>
      <c r="N62" s="720"/>
      <c r="O62" s="720"/>
      <c r="P62" s="721"/>
      <c r="Q62" s="139"/>
      <c r="R62" s="334"/>
      <c r="S62" s="132" t="s">
        <v>0</v>
      </c>
      <c r="T62" s="131"/>
      <c r="U62" s="131"/>
      <c r="V62" s="131"/>
      <c r="W62" s="131"/>
      <c r="X62" s="436"/>
      <c r="Y62" s="436"/>
      <c r="Z62" s="436"/>
      <c r="AA62" s="436"/>
      <c r="AB62" s="64"/>
      <c r="AC62" s="64"/>
      <c r="AD62" s="64"/>
      <c r="AE62" s="64"/>
      <c r="AF62" s="130"/>
      <c r="AG62" s="130"/>
      <c r="AH62" s="130"/>
      <c r="AI62" s="130"/>
    </row>
    <row r="63" spans="1:35" s="33" customFormat="1" ht="15.75" customHeight="1">
      <c r="A63" s="344"/>
      <c r="B63" s="334"/>
      <c r="C63" s="232"/>
      <c r="D63" s="442" t="s">
        <v>60</v>
      </c>
      <c r="E63" s="292" t="s">
        <v>18</v>
      </c>
      <c r="F63" s="292" t="s">
        <v>19</v>
      </c>
      <c r="G63" s="292"/>
      <c r="H63" s="292"/>
      <c r="I63" s="292"/>
      <c r="J63" s="292"/>
      <c r="K63" s="292"/>
      <c r="L63" s="292"/>
      <c r="M63" s="292"/>
      <c r="N63" s="292"/>
      <c r="O63" s="292"/>
      <c r="P63" s="292" t="s">
        <v>20</v>
      </c>
      <c r="Q63" s="137"/>
      <c r="R63" s="334"/>
      <c r="S63" s="228"/>
      <c r="T63" s="229"/>
      <c r="U63" s="229"/>
      <c r="V63" s="229"/>
      <c r="W63" s="229"/>
      <c r="X63" s="230"/>
      <c r="Y63" s="230"/>
      <c r="Z63" s="230"/>
      <c r="AA63" s="230"/>
      <c r="AB63" s="230"/>
      <c r="AC63" s="230"/>
      <c r="AD63" s="230"/>
      <c r="AE63" s="230"/>
      <c r="AF63" s="127"/>
      <c r="AG63" s="127"/>
      <c r="AH63" s="127"/>
      <c r="AI63" s="127"/>
    </row>
    <row r="64" spans="1:35" s="28" customFormat="1" ht="15.75" customHeight="1">
      <c r="A64" s="345"/>
      <c r="B64" s="334"/>
      <c r="C64" s="138"/>
      <c r="D64" s="36" t="s">
        <v>0</v>
      </c>
      <c r="E64" s="30" t="s">
        <v>229</v>
      </c>
      <c r="F64" s="71">
        <v>1</v>
      </c>
      <c r="G64" s="72">
        <v>2</v>
      </c>
      <c r="H64" s="73">
        <v>3</v>
      </c>
      <c r="I64" s="74">
        <v>4</v>
      </c>
      <c r="J64" s="75">
        <v>5</v>
      </c>
      <c r="K64" s="76">
        <v>6</v>
      </c>
      <c r="L64" s="77">
        <v>7</v>
      </c>
      <c r="M64" s="78">
        <v>8</v>
      </c>
      <c r="N64" s="79">
        <v>9</v>
      </c>
      <c r="O64" s="80">
        <v>10</v>
      </c>
      <c r="P64" s="32" t="s">
        <v>0</v>
      </c>
      <c r="Q64" s="139"/>
      <c r="R64" s="334"/>
      <c r="S64" s="133">
        <f>VLOOKUP($E64,R.VL_DEQResourcesInvolved,2,FALSE)</f>
        <v>0</v>
      </c>
      <c r="T64" s="121">
        <f>VLOOKUP($E64,R.VL_DEQResourcesInvolved,3,FALSE)</f>
        <v>0</v>
      </c>
      <c r="U64" s="121">
        <f>IF(S64=10,T64,VLOOKUP($E64,R.VL_DEQResourcesInvolved,4,FALSE))</f>
        <v>0</v>
      </c>
      <c r="V64" s="128"/>
      <c r="W64" s="128"/>
      <c r="X64" s="575" t="s">
        <v>554</v>
      </c>
      <c r="Y64" s="436"/>
      <c r="Z64" s="436"/>
      <c r="AA64" s="436"/>
      <c r="AB64" s="64"/>
      <c r="AC64" s="64"/>
      <c r="AD64" s="64"/>
      <c r="AE64" s="64"/>
      <c r="AF64" s="130"/>
      <c r="AG64" s="130"/>
      <c r="AH64" s="130"/>
      <c r="AI64" s="130"/>
    </row>
    <row r="65" spans="1:35" s="28" customFormat="1" ht="15.75" hidden="1" customHeight="1" outlineLevel="1">
      <c r="A65" s="345"/>
      <c r="B65" s="334"/>
      <c r="C65" s="138"/>
      <c r="D65" s="36" t="s">
        <v>0</v>
      </c>
      <c r="E65" s="30" t="s">
        <v>229</v>
      </c>
      <c r="F65" s="71">
        <v>1</v>
      </c>
      <c r="G65" s="72">
        <v>2</v>
      </c>
      <c r="H65" s="73">
        <v>3</v>
      </c>
      <c r="I65" s="74">
        <v>4</v>
      </c>
      <c r="J65" s="75">
        <v>5</v>
      </c>
      <c r="K65" s="76">
        <v>6</v>
      </c>
      <c r="L65" s="77">
        <v>7</v>
      </c>
      <c r="M65" s="78">
        <v>8</v>
      </c>
      <c r="N65" s="79">
        <v>9</v>
      </c>
      <c r="O65" s="80">
        <v>10</v>
      </c>
      <c r="P65" s="32" t="s">
        <v>0</v>
      </c>
      <c r="Q65" s="139"/>
      <c r="R65" s="334"/>
      <c r="S65" s="133">
        <f>VLOOKUP($E65,R.VL_DEQResourcesInvolved,2,FALSE)</f>
        <v>0</v>
      </c>
      <c r="T65" s="121">
        <f>VLOOKUP($E65,R.VL_DEQResourcesInvolved,3,FALSE)</f>
        <v>0</v>
      </c>
      <c r="U65" s="121">
        <f>IF(S65=10,T65,VLOOKUP($E65,R.VL_DEQResourcesInvolved,4,FALSE))</f>
        <v>0</v>
      </c>
      <c r="V65" s="128"/>
      <c r="W65" s="128"/>
      <c r="X65" s="436"/>
      <c r="Y65" s="436"/>
      <c r="Z65" s="436"/>
      <c r="AA65" s="436"/>
      <c r="AB65" s="64"/>
      <c r="AC65" s="64"/>
      <c r="AD65" s="64"/>
      <c r="AE65" s="64"/>
      <c r="AF65" s="130"/>
      <c r="AG65" s="130"/>
      <c r="AH65" s="130"/>
      <c r="AI65" s="130"/>
    </row>
    <row r="66" spans="1:35" s="28" customFormat="1" ht="15.75" hidden="1" customHeight="1" outlineLevel="1">
      <c r="A66" s="345"/>
      <c r="B66" s="334"/>
      <c r="C66" s="138"/>
      <c r="D66" s="36" t="s">
        <v>0</v>
      </c>
      <c r="E66" s="30" t="s">
        <v>229</v>
      </c>
      <c r="F66" s="71">
        <v>1</v>
      </c>
      <c r="G66" s="72">
        <v>2</v>
      </c>
      <c r="H66" s="73">
        <v>3</v>
      </c>
      <c r="I66" s="74">
        <v>4</v>
      </c>
      <c r="J66" s="75">
        <v>5</v>
      </c>
      <c r="K66" s="76">
        <v>6</v>
      </c>
      <c r="L66" s="77">
        <v>7</v>
      </c>
      <c r="M66" s="78">
        <v>8</v>
      </c>
      <c r="N66" s="79">
        <v>9</v>
      </c>
      <c r="O66" s="80">
        <v>10</v>
      </c>
      <c r="P66" s="32" t="s">
        <v>0</v>
      </c>
      <c r="Q66" s="139"/>
      <c r="R66" s="334"/>
      <c r="S66" s="133">
        <f>VLOOKUP($E66,R.VL_DEQResourcesInvolved,2,FALSE)</f>
        <v>0</v>
      </c>
      <c r="T66" s="121">
        <f>VLOOKUP($E66,R.VL_DEQResourcesInvolved,3,FALSE)</f>
        <v>0</v>
      </c>
      <c r="U66" s="121">
        <f>IF(S66=10,T66,VLOOKUP($E66,R.VL_DEQResourcesInvolved,4,FALSE))</f>
        <v>0</v>
      </c>
      <c r="V66" s="128"/>
      <c r="W66" s="128"/>
      <c r="X66" s="436"/>
      <c r="Y66" s="436"/>
      <c r="Z66" s="436"/>
      <c r="AA66" s="436"/>
      <c r="AB66" s="64"/>
      <c r="AC66" s="64"/>
      <c r="AD66" s="64"/>
      <c r="AE66" s="64"/>
      <c r="AF66" s="130"/>
      <c r="AG66" s="130"/>
      <c r="AH66" s="130"/>
      <c r="AI66" s="130"/>
    </row>
    <row r="67" spans="1:35" s="28" customFormat="1" ht="15.75" hidden="1" customHeight="1" outlineLevel="1">
      <c r="A67" s="345"/>
      <c r="B67" s="334"/>
      <c r="C67" s="138"/>
      <c r="D67" s="36" t="s">
        <v>0</v>
      </c>
      <c r="E67" s="30" t="s">
        <v>229</v>
      </c>
      <c r="F67" s="71">
        <v>1</v>
      </c>
      <c r="G67" s="72">
        <v>2</v>
      </c>
      <c r="H67" s="73">
        <v>3</v>
      </c>
      <c r="I67" s="74">
        <v>4</v>
      </c>
      <c r="J67" s="75">
        <v>5</v>
      </c>
      <c r="K67" s="76">
        <v>6</v>
      </c>
      <c r="L67" s="77">
        <v>7</v>
      </c>
      <c r="M67" s="78">
        <v>8</v>
      </c>
      <c r="N67" s="79">
        <v>9</v>
      </c>
      <c r="O67" s="80">
        <v>10</v>
      </c>
      <c r="P67" s="32" t="s">
        <v>0</v>
      </c>
      <c r="Q67" s="139"/>
      <c r="R67" s="334"/>
      <c r="S67" s="133">
        <f>VLOOKUP($E67,R.VL_DEQResourcesInvolved,2,FALSE)</f>
        <v>0</v>
      </c>
      <c r="T67" s="121">
        <f>VLOOKUP($E67,R.VL_DEQResourcesInvolved,3,FALSE)</f>
        <v>0</v>
      </c>
      <c r="U67" s="121">
        <f>IF(S67=10,T67,VLOOKUP($E67,R.VL_DEQResourcesInvolved,4,FALSE))</f>
        <v>0</v>
      </c>
      <c r="V67" s="511" t="str">
        <f>SUM(T64:T67)&amp;"-"&amp;SUM(U64:U67)</f>
        <v>0-0</v>
      </c>
      <c r="W67" s="128"/>
      <c r="X67" s="436"/>
      <c r="Y67" s="436"/>
      <c r="Z67" s="436"/>
      <c r="AA67" s="436"/>
      <c r="AB67" s="64"/>
      <c r="AC67" s="64"/>
      <c r="AD67" s="64"/>
      <c r="AE67" s="64"/>
      <c r="AF67" s="130"/>
      <c r="AG67" s="130"/>
      <c r="AH67" s="130"/>
      <c r="AI67" s="130"/>
    </row>
    <row r="68" spans="1:35" s="28" customFormat="1" ht="15.75" customHeight="1" collapsed="1">
      <c r="A68" s="345"/>
      <c r="B68" s="334"/>
      <c r="C68" s="468"/>
      <c r="D68" s="435"/>
      <c r="E68" s="435"/>
      <c r="F68" s="435"/>
      <c r="G68" s="435"/>
      <c r="H68" s="435"/>
      <c r="I68" s="435"/>
      <c r="J68" s="435"/>
      <c r="K68" s="435"/>
      <c r="L68" s="435"/>
      <c r="M68" s="435"/>
      <c r="N68" s="435"/>
      <c r="O68" s="435"/>
      <c r="P68" s="435"/>
      <c r="Q68" s="469"/>
      <c r="R68" s="334"/>
      <c r="S68" s="132"/>
      <c r="T68" s="134"/>
      <c r="U68" s="134"/>
      <c r="V68" s="134"/>
      <c r="W68" s="134"/>
      <c r="X68" s="436"/>
      <c r="Y68" s="436"/>
      <c r="Z68" s="436"/>
      <c r="AA68" s="436"/>
      <c r="AB68" s="64"/>
      <c r="AC68" s="64"/>
      <c r="AD68" s="64"/>
      <c r="AE68" s="64"/>
      <c r="AF68" s="130"/>
      <c r="AG68" s="130"/>
      <c r="AH68" s="130"/>
      <c r="AI68" s="130"/>
    </row>
    <row r="69" spans="1:35" s="28" customFormat="1" ht="15.75" customHeight="1">
      <c r="A69" s="345"/>
      <c r="B69" s="334"/>
      <c r="C69" s="142"/>
      <c r="D69" s="443" t="s">
        <v>52</v>
      </c>
      <c r="E69" s="31"/>
      <c r="F69" s="31"/>
      <c r="G69" s="31"/>
      <c r="H69" s="31"/>
      <c r="I69" s="31"/>
      <c r="J69" s="31"/>
      <c r="K69" s="31"/>
      <c r="L69" s="31"/>
      <c r="M69" s="31"/>
      <c r="N69" s="31"/>
      <c r="O69" s="31"/>
      <c r="P69" s="31"/>
      <c r="Q69" s="143"/>
      <c r="R69" s="334"/>
      <c r="S69" s="132"/>
      <c r="T69" s="131"/>
      <c r="U69" s="131"/>
      <c r="V69" s="131"/>
      <c r="W69" s="131"/>
      <c r="X69" s="436"/>
      <c r="Y69" s="436"/>
      <c r="Z69" s="436"/>
      <c r="AA69" s="436"/>
      <c r="AB69" s="64"/>
      <c r="AC69" s="64"/>
      <c r="AD69" s="64"/>
      <c r="AE69" s="64"/>
      <c r="AF69" s="130"/>
      <c r="AG69" s="130"/>
      <c r="AH69" s="130"/>
      <c r="AI69" s="130"/>
    </row>
    <row r="70" spans="1:35" s="28" customFormat="1" ht="15.75" customHeight="1">
      <c r="A70" s="345"/>
      <c r="B70" s="334"/>
      <c r="C70" s="138"/>
      <c r="D70" s="724"/>
      <c r="E70" s="725"/>
      <c r="F70" s="725"/>
      <c r="G70" s="725"/>
      <c r="H70" s="725"/>
      <c r="I70" s="725"/>
      <c r="J70" s="725"/>
      <c r="K70" s="725"/>
      <c r="L70" s="725"/>
      <c r="M70" s="725"/>
      <c r="N70" s="725"/>
      <c r="O70" s="725"/>
      <c r="P70" s="726"/>
      <c r="Q70" s="139"/>
      <c r="R70" s="334"/>
      <c r="S70" s="132" t="s">
        <v>0</v>
      </c>
      <c r="T70" s="131"/>
      <c r="U70" s="131"/>
      <c r="V70" s="131"/>
      <c r="W70" s="131"/>
      <c r="X70" s="436"/>
      <c r="Y70" s="436"/>
      <c r="Z70" s="436"/>
      <c r="AA70" s="436"/>
      <c r="AB70" s="64"/>
      <c r="AC70" s="64"/>
      <c r="AD70" s="64"/>
      <c r="AE70" s="64"/>
      <c r="AF70" s="130"/>
      <c r="AG70" s="130"/>
      <c r="AH70" s="130"/>
      <c r="AI70" s="130"/>
    </row>
    <row r="71" spans="1:35" s="33" customFormat="1" ht="15.75" customHeight="1">
      <c r="A71" s="344"/>
      <c r="B71" s="334"/>
      <c r="C71" s="232"/>
      <c r="D71" s="442" t="s">
        <v>60</v>
      </c>
      <c r="E71" s="292" t="s">
        <v>18</v>
      </c>
      <c r="F71" s="292" t="s">
        <v>19</v>
      </c>
      <c r="G71" s="292"/>
      <c r="H71" s="292"/>
      <c r="I71" s="292"/>
      <c r="J71" s="292"/>
      <c r="K71" s="292"/>
      <c r="L71" s="292"/>
      <c r="M71" s="292"/>
      <c r="N71" s="292"/>
      <c r="O71" s="292"/>
      <c r="P71" s="292" t="s">
        <v>20</v>
      </c>
      <c r="Q71" s="137"/>
      <c r="R71" s="334"/>
      <c r="S71" s="228"/>
      <c r="T71" s="229"/>
      <c r="U71" s="229"/>
      <c r="V71" s="229"/>
      <c r="W71" s="229"/>
      <c r="X71" s="230"/>
      <c r="Y71" s="230"/>
      <c r="Z71" s="230"/>
      <c r="AA71" s="230"/>
      <c r="AB71" s="230"/>
      <c r="AC71" s="230"/>
      <c r="AD71" s="230"/>
      <c r="AE71" s="230"/>
      <c r="AF71" s="127"/>
      <c r="AG71" s="127"/>
      <c r="AH71" s="127"/>
      <c r="AI71" s="127"/>
    </row>
    <row r="72" spans="1:35" s="28" customFormat="1" ht="15.75" customHeight="1">
      <c r="A72" s="345"/>
      <c r="B72" s="334"/>
      <c r="C72" s="138"/>
      <c r="D72" s="36" t="s">
        <v>0</v>
      </c>
      <c r="E72" s="30" t="s">
        <v>229</v>
      </c>
      <c r="F72" s="71">
        <v>1</v>
      </c>
      <c r="G72" s="72">
        <v>2</v>
      </c>
      <c r="H72" s="73">
        <v>3</v>
      </c>
      <c r="I72" s="74">
        <v>4</v>
      </c>
      <c r="J72" s="75">
        <v>5</v>
      </c>
      <c r="K72" s="76">
        <v>6</v>
      </c>
      <c r="L72" s="77">
        <v>7</v>
      </c>
      <c r="M72" s="78">
        <v>8</v>
      </c>
      <c r="N72" s="79">
        <v>9</v>
      </c>
      <c r="O72" s="80">
        <v>10</v>
      </c>
      <c r="P72" s="32" t="s">
        <v>0</v>
      </c>
      <c r="Q72" s="139"/>
      <c r="R72" s="334"/>
      <c r="S72" s="133">
        <f>VLOOKUP($E72,R.VL_DEQResourcesInvolved,2,FALSE)</f>
        <v>0</v>
      </c>
      <c r="T72" s="121">
        <f>VLOOKUP($E72,R.VL_DEQResourcesInvolved,3,FALSE)</f>
        <v>0</v>
      </c>
      <c r="U72" s="121">
        <f>IF(S72=10,T72,VLOOKUP($E72,R.VL_DEQResourcesInvolved,4,FALSE))</f>
        <v>0</v>
      </c>
      <c r="V72" s="121">
        <f>COUNTIF(S64:S75,"&gt;0")</f>
        <v>0</v>
      </c>
      <c r="W72" s="128"/>
      <c r="X72" s="575" t="s">
        <v>554</v>
      </c>
      <c r="Y72" s="436"/>
      <c r="Z72" s="436"/>
      <c r="AA72" s="436"/>
      <c r="AB72" s="64"/>
      <c r="AC72" s="64"/>
      <c r="AD72" s="64"/>
      <c r="AE72" s="64"/>
      <c r="AF72" s="130"/>
      <c r="AG72" s="130"/>
      <c r="AH72" s="130"/>
      <c r="AI72" s="130"/>
    </row>
    <row r="73" spans="1:35" s="28" customFormat="1" ht="15.75" hidden="1" customHeight="1" outlineLevel="1">
      <c r="A73" s="345"/>
      <c r="B73" s="334"/>
      <c r="C73" s="138"/>
      <c r="D73" s="36" t="s">
        <v>0</v>
      </c>
      <c r="E73" s="30" t="s">
        <v>229</v>
      </c>
      <c r="F73" s="71">
        <v>1</v>
      </c>
      <c r="G73" s="72">
        <v>2</v>
      </c>
      <c r="H73" s="73">
        <v>3</v>
      </c>
      <c r="I73" s="74">
        <v>4</v>
      </c>
      <c r="J73" s="75">
        <v>5</v>
      </c>
      <c r="K73" s="76">
        <v>6</v>
      </c>
      <c r="L73" s="77">
        <v>7</v>
      </c>
      <c r="M73" s="78">
        <v>8</v>
      </c>
      <c r="N73" s="79">
        <v>9</v>
      </c>
      <c r="O73" s="80">
        <v>10</v>
      </c>
      <c r="P73" s="32" t="s">
        <v>0</v>
      </c>
      <c r="Q73" s="139"/>
      <c r="R73" s="334"/>
      <c r="S73" s="133">
        <f>VLOOKUP($E73,R.VL_DEQResourcesInvolved,2,FALSE)</f>
        <v>0</v>
      </c>
      <c r="T73" s="121">
        <f>VLOOKUP($E73,R.VL_DEQResourcesInvolved,3,FALSE)</f>
        <v>0</v>
      </c>
      <c r="U73" s="121">
        <f>IF(S73=10,T73,VLOOKUP($E73,R.VL_DEQResourcesInvolved,4,FALSE))</f>
        <v>0</v>
      </c>
      <c r="V73" s="128"/>
      <c r="W73" s="128"/>
      <c r="X73" s="436"/>
      <c r="Y73" s="436"/>
      <c r="Z73" s="436"/>
      <c r="AA73" s="436"/>
      <c r="AB73" s="64"/>
      <c r="AC73" s="64"/>
      <c r="AD73" s="64"/>
      <c r="AE73" s="64"/>
      <c r="AF73" s="130"/>
      <c r="AG73" s="130"/>
      <c r="AH73" s="130"/>
      <c r="AI73" s="130"/>
    </row>
    <row r="74" spans="1:35" s="28" customFormat="1" ht="15.75" hidden="1" customHeight="1" outlineLevel="1">
      <c r="A74" s="345"/>
      <c r="B74" s="334"/>
      <c r="C74" s="138"/>
      <c r="D74" s="36" t="s">
        <v>0</v>
      </c>
      <c r="E74" s="30" t="s">
        <v>229</v>
      </c>
      <c r="F74" s="71">
        <v>1</v>
      </c>
      <c r="G74" s="72">
        <v>2</v>
      </c>
      <c r="H74" s="73">
        <v>3</v>
      </c>
      <c r="I74" s="74">
        <v>4</v>
      </c>
      <c r="J74" s="75">
        <v>5</v>
      </c>
      <c r="K74" s="76">
        <v>6</v>
      </c>
      <c r="L74" s="77">
        <v>7</v>
      </c>
      <c r="M74" s="78">
        <v>8</v>
      </c>
      <c r="N74" s="79">
        <v>9</v>
      </c>
      <c r="O74" s="80">
        <v>10</v>
      </c>
      <c r="P74" s="32" t="s">
        <v>0</v>
      </c>
      <c r="Q74" s="139"/>
      <c r="R74" s="334"/>
      <c r="S74" s="133">
        <f>VLOOKUP($E74,R.VL_DEQResourcesInvolved,2,FALSE)</f>
        <v>0</v>
      </c>
      <c r="T74" s="121">
        <f>VLOOKUP($E74,R.VL_DEQResourcesInvolved,3,FALSE)</f>
        <v>0</v>
      </c>
      <c r="U74" s="121">
        <f>IF(S74=10,T74,VLOOKUP($E74,R.VL_DEQResourcesInvolved,4,FALSE))</f>
        <v>0</v>
      </c>
      <c r="V74" s="128"/>
      <c r="W74" s="128"/>
      <c r="X74" s="436"/>
      <c r="Y74" s="436"/>
      <c r="Z74" s="436"/>
      <c r="AA74" s="436"/>
      <c r="AB74" s="64"/>
      <c r="AC74" s="64"/>
      <c r="AD74" s="64"/>
      <c r="AE74" s="64"/>
      <c r="AF74" s="130"/>
      <c r="AG74" s="130"/>
      <c r="AH74" s="130"/>
      <c r="AI74" s="130"/>
    </row>
    <row r="75" spans="1:35" s="28" customFormat="1" ht="15.75" hidden="1" customHeight="1" outlineLevel="1" thickBot="1">
      <c r="A75" s="345"/>
      <c r="B75" s="334"/>
      <c r="C75" s="138"/>
      <c r="D75" s="36" t="s">
        <v>0</v>
      </c>
      <c r="E75" s="30" t="s">
        <v>229</v>
      </c>
      <c r="F75" s="71">
        <v>1</v>
      </c>
      <c r="G75" s="72">
        <v>2</v>
      </c>
      <c r="H75" s="73">
        <v>3</v>
      </c>
      <c r="I75" s="74">
        <v>4</v>
      </c>
      <c r="J75" s="75">
        <v>5</v>
      </c>
      <c r="K75" s="76">
        <v>6</v>
      </c>
      <c r="L75" s="77">
        <v>7</v>
      </c>
      <c r="M75" s="78">
        <v>8</v>
      </c>
      <c r="N75" s="79">
        <v>9</v>
      </c>
      <c r="O75" s="80">
        <v>10</v>
      </c>
      <c r="P75" s="32" t="s">
        <v>0</v>
      </c>
      <c r="Q75" s="139"/>
      <c r="R75" s="334"/>
      <c r="S75" s="133">
        <f>VLOOKUP($E75,R.VL_DEQResourcesInvolved,2,FALSE)</f>
        <v>0</v>
      </c>
      <c r="T75" s="121">
        <f>VLOOKUP($E75,R.VL_DEQResourcesInvolved,3,FALSE)</f>
        <v>0</v>
      </c>
      <c r="U75" s="121">
        <f>IF(S75=10,T75,VLOOKUP($E75,R.VL_DEQResourcesInvolved,4,FALSE))</f>
        <v>0</v>
      </c>
      <c r="V75" s="511" t="str">
        <f>SUM(T72:T75)&amp;"-"&amp;SUM(U72:U75)</f>
        <v>0-0</v>
      </c>
      <c r="W75" s="512" t="str">
        <f>SUM(T64:T75)&amp;"-"&amp;SUM(U64:U75)</f>
        <v>0-0</v>
      </c>
      <c r="X75" s="436"/>
      <c r="Y75" s="436"/>
      <c r="Z75" s="436"/>
      <c r="AA75" s="436"/>
      <c r="AB75" s="64"/>
      <c r="AC75" s="64"/>
      <c r="AD75" s="64"/>
      <c r="AE75" s="64"/>
      <c r="AF75" s="130"/>
      <c r="AG75" s="130"/>
      <c r="AH75" s="130"/>
      <c r="AI75" s="130"/>
    </row>
    <row r="76" spans="1:35" s="28" customFormat="1" ht="8.25" customHeight="1" collapsed="1">
      <c r="A76" s="345"/>
      <c r="B76" s="334"/>
      <c r="C76" s="138"/>
      <c r="D76" s="479"/>
      <c r="E76" s="723"/>
      <c r="F76" s="723"/>
      <c r="G76" s="723"/>
      <c r="H76" s="723"/>
      <c r="I76" s="723"/>
      <c r="J76" s="723"/>
      <c r="K76" s="723"/>
      <c r="L76" s="723"/>
      <c r="M76" s="723"/>
      <c r="N76" s="723"/>
      <c r="O76" s="723"/>
      <c r="P76" s="723"/>
      <c r="Q76" s="139"/>
      <c r="R76" s="334"/>
      <c r="S76" s="132"/>
      <c r="T76" s="128"/>
      <c r="U76" s="128"/>
      <c r="V76" s="128"/>
      <c r="W76" s="128"/>
      <c r="X76" s="436"/>
      <c r="Y76" s="436"/>
      <c r="Z76" s="436"/>
      <c r="AA76" s="436"/>
      <c r="AB76" s="64"/>
      <c r="AC76" s="64"/>
      <c r="AD76" s="64"/>
      <c r="AE76" s="64"/>
      <c r="AF76" s="130"/>
      <c r="AG76" s="130"/>
      <c r="AH76" s="130"/>
      <c r="AI76" s="130"/>
    </row>
    <row r="77" spans="1:35" s="28" customFormat="1" ht="8.25" customHeight="1">
      <c r="A77" s="345"/>
      <c r="B77" s="334"/>
      <c r="C77" s="376"/>
      <c r="D77" s="377"/>
      <c r="E77" s="482"/>
      <c r="F77" s="482"/>
      <c r="G77" s="482"/>
      <c r="H77" s="482"/>
      <c r="I77" s="482"/>
      <c r="J77" s="482"/>
      <c r="K77" s="482"/>
      <c r="L77" s="482"/>
      <c r="M77" s="482"/>
      <c r="N77" s="482"/>
      <c r="O77" s="482"/>
      <c r="P77" s="482"/>
      <c r="Q77" s="379"/>
      <c r="R77" s="334"/>
      <c r="S77" s="132"/>
      <c r="T77" s="128"/>
      <c r="U77" s="128"/>
      <c r="V77" s="128"/>
      <c r="W77" s="128"/>
      <c r="X77" s="436"/>
      <c r="Y77" s="436"/>
      <c r="Z77" s="436"/>
      <c r="AA77" s="436"/>
      <c r="AB77" s="436"/>
      <c r="AC77" s="436"/>
      <c r="AD77" s="436"/>
      <c r="AE77" s="436"/>
      <c r="AF77" s="130"/>
      <c r="AG77" s="130"/>
      <c r="AH77" s="130"/>
      <c r="AI77" s="130"/>
    </row>
    <row r="78" spans="1:35" s="29" customFormat="1" ht="30" customHeight="1">
      <c r="A78" s="344"/>
      <c r="B78" s="334"/>
      <c r="C78" s="146"/>
      <c r="D78" s="727" t="str">
        <f>"Please suggest process improvements to the "&amp;D2&amp;" worksheet."</f>
        <v>Please suggest process improvements to the Other Divisions worksheet.</v>
      </c>
      <c r="E78" s="727"/>
      <c r="F78" s="727"/>
      <c r="G78" s="470"/>
      <c r="H78" s="471"/>
      <c r="I78" s="472"/>
      <c r="J78" s="473"/>
      <c r="K78" s="474"/>
      <c r="L78" s="475"/>
      <c r="M78" s="476"/>
      <c r="N78" s="477"/>
      <c r="O78" s="478"/>
      <c r="P78" s="39"/>
      <c r="Q78" s="147"/>
      <c r="R78" s="334"/>
      <c r="S78" s="134"/>
      <c r="T78" s="131"/>
      <c r="U78" s="131"/>
      <c r="V78" s="131"/>
      <c r="W78" s="131"/>
      <c r="X78" s="436"/>
      <c r="Y78" s="436"/>
      <c r="Z78" s="436"/>
      <c r="AA78" s="436"/>
      <c r="AB78" s="64"/>
      <c r="AC78" s="64"/>
      <c r="AD78" s="64"/>
      <c r="AE78" s="64"/>
      <c r="AF78" s="65"/>
      <c r="AG78" s="65"/>
      <c r="AH78" s="65"/>
      <c r="AI78" s="65"/>
    </row>
    <row r="79" spans="1:35" s="6" customFormat="1" ht="30.75" customHeight="1">
      <c r="A79" s="350"/>
      <c r="B79" s="334"/>
      <c r="C79" s="136"/>
      <c r="D79" s="641"/>
      <c r="E79" s="642"/>
      <c r="F79" s="642"/>
      <c r="G79" s="642"/>
      <c r="H79" s="642"/>
      <c r="I79" s="642"/>
      <c r="J79" s="642"/>
      <c r="K79" s="642"/>
      <c r="L79" s="642"/>
      <c r="M79" s="642"/>
      <c r="N79" s="642"/>
      <c r="O79" s="642"/>
      <c r="P79" s="643"/>
      <c r="Q79" s="148"/>
      <c r="R79" s="334"/>
      <c r="S79" s="132"/>
      <c r="T79" s="131"/>
      <c r="U79" s="131"/>
      <c r="V79" s="131"/>
      <c r="W79" s="131"/>
      <c r="X79" s="436"/>
      <c r="Y79" s="436"/>
      <c r="Z79" s="436"/>
      <c r="AA79" s="436"/>
      <c r="AB79" s="64"/>
      <c r="AC79" s="64"/>
      <c r="AD79" s="64"/>
      <c r="AE79" s="64"/>
      <c r="AF79" s="66"/>
      <c r="AG79" s="66"/>
      <c r="AH79" s="66"/>
      <c r="AI79" s="66"/>
    </row>
    <row r="80" spans="1:35" ht="18" customHeight="1">
      <c r="A80" s="350" t="s">
        <v>108</v>
      </c>
      <c r="B80" s="334"/>
      <c r="C80" s="149"/>
      <c r="D80" s="150"/>
      <c r="E80" s="150"/>
      <c r="F80" s="150"/>
      <c r="G80" s="150"/>
      <c r="H80" s="150"/>
      <c r="I80" s="150"/>
      <c r="J80" s="150"/>
      <c r="K80" s="150"/>
      <c r="L80" s="150"/>
      <c r="M80" s="150"/>
      <c r="N80" s="150"/>
      <c r="O80" s="150"/>
      <c r="P80" s="150"/>
      <c r="Q80" s="151"/>
      <c r="R80" s="334"/>
      <c r="AB80" s="111"/>
      <c r="AC80" s="111"/>
    </row>
    <row r="81" spans="1:29" s="64" customFormat="1" ht="14.25">
      <c r="A81" s="337"/>
      <c r="B81" s="334"/>
      <c r="C81" s="334"/>
      <c r="D81" s="334"/>
      <c r="E81" s="334"/>
      <c r="F81" s="334"/>
      <c r="G81" s="334"/>
      <c r="H81" s="334"/>
      <c r="I81" s="334"/>
      <c r="J81" s="334"/>
      <c r="K81" s="334"/>
      <c r="L81" s="334"/>
      <c r="M81" s="334"/>
      <c r="N81" s="334"/>
      <c r="O81" s="334"/>
      <c r="P81" s="334"/>
      <c r="Q81" s="334"/>
      <c r="R81" s="334"/>
      <c r="S81" s="113"/>
      <c r="T81" s="436"/>
      <c r="U81" s="436"/>
      <c r="V81" s="436"/>
      <c r="W81" s="436"/>
      <c r="X81" s="436"/>
      <c r="Y81" s="436"/>
      <c r="Z81" s="436"/>
      <c r="AA81" s="436"/>
      <c r="AB81" s="111"/>
      <c r="AC81" s="111"/>
    </row>
    <row r="82" spans="1:29" s="64" customFormat="1" ht="14.25" customHeight="1">
      <c r="A82" s="337"/>
      <c r="C82" s="112"/>
      <c r="D82" s="436"/>
      <c r="E82" s="436"/>
      <c r="F82" s="436"/>
      <c r="G82" s="436"/>
      <c r="H82" s="436"/>
      <c r="I82" s="435"/>
      <c r="J82" s="435"/>
      <c r="K82" s="435"/>
      <c r="L82" s="295"/>
      <c r="M82" s="296"/>
      <c r="N82" s="687"/>
      <c r="O82" s="687"/>
      <c r="P82" s="687"/>
      <c r="Q82" s="687"/>
      <c r="R82" s="687"/>
      <c r="S82" s="687"/>
      <c r="T82" s="687"/>
      <c r="U82" s="687"/>
      <c r="V82" s="687"/>
      <c r="W82" s="687"/>
      <c r="X82" s="687"/>
      <c r="Y82" s="687"/>
      <c r="Z82" s="687"/>
      <c r="AA82" s="687"/>
      <c r="AB82" s="95"/>
      <c r="AC82" s="111"/>
    </row>
    <row r="83" spans="1:29" s="64" customFormat="1">
      <c r="A83" s="337"/>
      <c r="C83" s="112"/>
      <c r="D83" s="436"/>
      <c r="E83" s="436"/>
      <c r="F83" s="436"/>
      <c r="G83" s="436"/>
      <c r="H83" s="436"/>
      <c r="I83" s="436"/>
      <c r="J83" s="436"/>
      <c r="K83" s="436"/>
      <c r="L83" s="436"/>
      <c r="M83" s="436"/>
      <c r="N83" s="436"/>
      <c r="O83" s="436"/>
      <c r="P83" s="436"/>
      <c r="Q83" s="436"/>
      <c r="R83" s="436"/>
      <c r="S83" s="113"/>
      <c r="T83" s="436"/>
      <c r="U83" s="436"/>
      <c r="V83" s="436"/>
      <c r="W83" s="436"/>
      <c r="X83" s="436"/>
      <c r="Y83" s="436"/>
      <c r="Z83" s="436"/>
      <c r="AA83" s="436"/>
    </row>
    <row r="84" spans="1:29" s="64" customFormat="1">
      <c r="A84" s="337"/>
      <c r="C84" s="112"/>
      <c r="D84" s="436"/>
      <c r="E84" s="436"/>
      <c r="F84" s="436"/>
      <c r="G84" s="436"/>
      <c r="H84" s="436"/>
      <c r="I84" s="436"/>
      <c r="J84" s="436"/>
      <c r="K84" s="436"/>
      <c r="L84" s="436"/>
      <c r="M84" s="436"/>
      <c r="N84" s="436"/>
      <c r="O84" s="436"/>
      <c r="P84" s="436"/>
      <c r="Q84" s="436"/>
      <c r="R84" s="436"/>
      <c r="S84" s="113"/>
      <c r="T84" s="436"/>
      <c r="U84" s="436"/>
      <c r="V84" s="436"/>
      <c r="W84" s="436"/>
      <c r="X84" s="436"/>
      <c r="Y84" s="436"/>
      <c r="Z84" s="436"/>
      <c r="AA84" s="436"/>
    </row>
    <row r="85" spans="1:29" s="64" customFormat="1">
      <c r="A85" s="337"/>
      <c r="C85" s="112"/>
      <c r="D85" s="436"/>
      <c r="E85" s="436"/>
      <c r="F85" s="436"/>
      <c r="G85" s="436"/>
      <c r="H85" s="436"/>
      <c r="I85" s="436"/>
      <c r="J85" s="436"/>
      <c r="K85" s="436"/>
      <c r="L85" s="436"/>
      <c r="M85" s="436"/>
      <c r="N85" s="436"/>
      <c r="O85" s="436"/>
      <c r="P85" s="436"/>
      <c r="Q85" s="436"/>
      <c r="R85" s="436"/>
      <c r="S85" s="113"/>
      <c r="T85" s="436"/>
      <c r="U85" s="436"/>
      <c r="V85" s="436"/>
      <c r="W85" s="436"/>
      <c r="X85" s="436"/>
      <c r="Y85" s="436"/>
      <c r="Z85" s="436"/>
      <c r="AA85" s="436"/>
    </row>
    <row r="86" spans="1:29" s="64" customFormat="1">
      <c r="A86" s="337"/>
      <c r="C86" s="112"/>
      <c r="D86" s="436"/>
      <c r="E86" s="436"/>
      <c r="F86" s="436"/>
      <c r="G86" s="436"/>
      <c r="H86" s="436"/>
      <c r="I86" s="436"/>
      <c r="J86" s="436"/>
      <c r="K86" s="436"/>
      <c r="L86" s="436"/>
      <c r="M86" s="436"/>
      <c r="N86" s="436"/>
      <c r="O86" s="436"/>
      <c r="P86" s="436"/>
      <c r="Q86" s="436"/>
      <c r="R86" s="436"/>
      <c r="S86" s="113"/>
      <c r="T86" s="436"/>
      <c r="U86" s="436"/>
      <c r="V86" s="436"/>
      <c r="W86" s="436"/>
      <c r="X86" s="436"/>
      <c r="Y86" s="436"/>
      <c r="Z86" s="436"/>
      <c r="AA86" s="436"/>
    </row>
    <row r="87" spans="1:29" s="64" customFormat="1">
      <c r="A87" s="337"/>
      <c r="C87" s="112"/>
      <c r="D87" s="436"/>
      <c r="E87" s="436"/>
      <c r="F87" s="436"/>
      <c r="G87" s="436"/>
      <c r="H87" s="436"/>
      <c r="I87" s="436"/>
      <c r="J87" s="436"/>
      <c r="K87" s="436"/>
      <c r="L87" s="436"/>
      <c r="M87" s="436"/>
      <c r="N87" s="436"/>
      <c r="O87" s="436"/>
      <c r="P87" s="436"/>
      <c r="Q87" s="436"/>
      <c r="R87" s="436"/>
      <c r="S87" s="113"/>
      <c r="T87" s="436"/>
      <c r="U87" s="436"/>
      <c r="V87" s="436"/>
      <c r="W87" s="436"/>
      <c r="X87" s="436"/>
      <c r="Y87" s="436"/>
      <c r="Z87" s="436"/>
      <c r="AA87" s="436"/>
    </row>
  </sheetData>
  <sheetProtection sheet="1" scenarios="1" formatCells="0" formatRows="0" insertHyperlinks="0"/>
  <mergeCells count="26">
    <mergeCell ref="N82:AA82"/>
    <mergeCell ref="E2:P2"/>
    <mergeCell ref="M3:P3"/>
    <mergeCell ref="F4:L4"/>
    <mergeCell ref="M4:P4"/>
    <mergeCell ref="F5:L5"/>
    <mergeCell ref="M5:P5"/>
    <mergeCell ref="D52:P52"/>
    <mergeCell ref="D7:P7"/>
    <mergeCell ref="D11:P11"/>
    <mergeCell ref="F12:O12"/>
    <mergeCell ref="D18:P18"/>
    <mergeCell ref="E24:P24"/>
    <mergeCell ref="D28:P28"/>
    <mergeCell ref="D35:P35"/>
    <mergeCell ref="E41:P41"/>
    <mergeCell ref="D79:P79"/>
    <mergeCell ref="D62:P62"/>
    <mergeCell ref="D70:P70"/>
    <mergeCell ref="D78:F78"/>
    <mergeCell ref="E76:P76"/>
    <mergeCell ref="E60:P60"/>
    <mergeCell ref="E42:P42"/>
    <mergeCell ref="D45:P45"/>
    <mergeCell ref="F46:O46"/>
    <mergeCell ref="E58:P58"/>
  </mergeCells>
  <conditionalFormatting sqref="F72:O75 F64:O67 F47:O50 F54:O57 F30:O33 F37:O40 F13:O16 F20:O23">
    <cfRule type="colorScale" priority="389">
      <colorScale>
        <cfvo type="num" val="0"/>
        <cfvo type="num" val="5"/>
        <cfvo type="num" val="10"/>
        <color rgb="FF00B050"/>
        <color rgb="FFFFFF00"/>
        <color rgb="FFFF0000"/>
      </colorScale>
    </cfRule>
  </conditionalFormatting>
  <conditionalFormatting sqref="N13:N16 N20:N23 N30:N33 N72:N75 N47:N50 N54:N57 N64:N67 N37:N40">
    <cfRule type="expression" dxfId="2547" priority="377" stopIfTrue="1">
      <formula>IF($S13&lt;9,TRUE,)</formula>
    </cfRule>
  </conditionalFormatting>
  <conditionalFormatting sqref="M13:M16 M20:M23 M30:M33 M72:M75 M47:M50 M54:M57 M64:M67 M37:M40">
    <cfRule type="expression" dxfId="2546" priority="376" stopIfTrue="1">
      <formula>IF($S13&lt;8,TRUE,)</formula>
    </cfRule>
  </conditionalFormatting>
  <conditionalFormatting sqref="L13:L16 L20:L23 L30:L33 L72:L75 L47:L50 L54:L57 L64:L67 L37:L40">
    <cfRule type="expression" dxfId="2545" priority="375" stopIfTrue="1">
      <formula>IF($S13&lt;7,TRUE,)</formula>
    </cfRule>
  </conditionalFormatting>
  <conditionalFormatting sqref="K13:K16 K20:K23 K30:K33 K72:K75 K47:K50 K54:K57 K64:K67 K37:K40">
    <cfRule type="expression" dxfId="2544" priority="374" stopIfTrue="1">
      <formula>IF($S13&lt;6,TRUE,)</formula>
    </cfRule>
  </conditionalFormatting>
  <conditionalFormatting sqref="J13:J16 J20:J23 J30:J33 J72:J75 J47:J50 J54:J57 J64:J67 J37:J40">
    <cfRule type="expression" dxfId="2543" priority="373" stopIfTrue="1">
      <formula>IF($S13&lt;5,TRUE,)</formula>
    </cfRule>
  </conditionalFormatting>
  <conditionalFormatting sqref="I13:I16 I20:I23 I30:I33 I72:I75 I47:I50 I54:I57 I64:I67 I37:I40">
    <cfRule type="expression" dxfId="2542" priority="372" stopIfTrue="1">
      <formula>IF($S13&lt;4,TRUE,)</formula>
    </cfRule>
  </conditionalFormatting>
  <conditionalFormatting sqref="H13:H16 H20:H23 H30:H33 H72:H75 H47:H50 H54:H57 H64:H67 H37:H40">
    <cfRule type="expression" dxfId="2541" priority="371" stopIfTrue="1">
      <formula>IF($S13&lt;3,TRUE,)</formula>
    </cfRule>
  </conditionalFormatting>
  <conditionalFormatting sqref="G13:G16 G20:G23 G30:G33 G72:G75 G47:G50 G54:G57 G64:G67 G37:G40">
    <cfRule type="expression" dxfId="2540" priority="370" stopIfTrue="1">
      <formula>IF($S13&lt;2,TRUE,)</formula>
    </cfRule>
  </conditionalFormatting>
  <conditionalFormatting sqref="F13:F16 F20:F23 F30:F33 F72:F75 F47:F50 F54:F57 F64:F67 F37:F40">
    <cfRule type="expression" dxfId="2539" priority="369" stopIfTrue="1">
      <formula>IF($S13&lt;1,TRUE,)</formula>
    </cfRule>
  </conditionalFormatting>
  <conditionalFormatting sqref="O13:O16 O20:O23 O30:O33 O72:O75 O47:O50 O54:O57 O64:O67 O37:O40">
    <cfRule type="expression" dxfId="2538" priority="368" stopIfTrue="1">
      <formula>IF($S13&lt;10,TRUE,)</formula>
    </cfRule>
  </conditionalFormatting>
  <dataValidations xWindow="1038" yWindow="657" count="17">
    <dataValidation type="list" allowBlank="1" showInputMessage="1" showErrorMessage="1" sqref="P78">
      <formula1>R.DDL_DEQStaffRank</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79"/>
    <dataValidation type="list" allowBlank="1" showInputMessage="1" showErrorMessage="1" promptTitle="DROP DOWN LIST" prompt="Select a range of hours from the drop down list that best describes how involved this resource will be in IMPLEMENTING this project." sqref="E72:E77 E20:E23 E37:E40 E54:E57">
      <formula1>R.DDL_DEQResourcesInvolved</formula1>
    </dataValidation>
    <dataValidation allowBlank="1" showInputMessage="1" showErrorMessage="1" promptTitle="ENTER NAME" prompt="Enter the name of the STAFF or FUNCTION involved with IMPLEMENTING the project._x000a_" sqref="D54:D57 D20:D23 D37:D40 D72:D77"/>
    <dataValidation type="list" allowBlank="1" showInputMessage="1" showErrorMessage="1" promptTitle="DROP DOWN LIST" prompt="Select whether the named person is staff, a manager or an administrator. Leave this cell blank if you entered a FUNCTION name or left the name blank." sqref="P47:P50 P54:P57 P20:P23 P13:P16 P37:P40 P30:P33 P72:P77 P64:P67">
      <formula1>R.DDL_DEQStaffRank</formula1>
    </dataValidation>
    <dataValidation type="list" allowBlank="1" showInputMessage="1" showErrorMessage="1" promptTitle="DROP DOWN LIST" prompt="Select a range of hours from the drop down list that best describes how involved this resource will be in DEVELOPING this project." sqref="E47:E50 E64:E67 E13:E16 E30:E33">
      <formula1>R.DDL_DEQResourcesInvolved</formula1>
    </dataValidation>
    <dataValidation allowBlank="1" showInputMessage="1" showErrorMessage="1" promptTitle="ENTER NAME" prompt="Enter the name of the STAFF or FUNCTION involved with DEVELOPING the project._x000a_" sqref="D64:D67 D47:D50 D13:D16 D30:D33"/>
    <dataValidation type="textLength" allowBlank="1" showInputMessage="1" showErrorMessage="1" promptTitle="DESCRIBE INVOLVEMENT" prompt="_x000a_Describe how this resource would be involved with the proposal during the development phase of the rule." sqref="D62">
      <formula1>0</formula1>
      <formula2>5000</formula2>
    </dataValidation>
    <dataValidation type="textLength" allowBlank="1" showInputMessage="1" showErrorMessage="1" promptTitle="DESCRIBE INVOLVEMENT" prompt="_x000a_Describe how this resource would be involved with the proposal during the implementation phase of the rule." sqref="D70">
      <formula1>0</formula1>
      <formula2>5000</formula2>
    </dataValidation>
    <dataValidation type="textLength" allowBlank="1" showErrorMessage="1" prompt="_x000a_" sqref="E59:P59 E24:P25 E41:P41">
      <formula1>0</formula1>
      <formula2>10000</formula2>
    </dataValidation>
    <dataValidation type="textLength" allowBlank="1" showInputMessage="1" showErrorMessage="1" sqref="E58:P58">
      <formula1>0</formula1>
      <formula2>5000</formula2>
    </dataValidation>
    <dataValidation type="textLength" allowBlank="1" showInputMessage="1" showErrorMessage="1" prompt="_x000a_" sqref="E42:P42">
      <formula1>0</formula1>
      <formula2>5000</formula2>
    </dataValidation>
    <dataValidation allowBlank="1" showInputMessage="1" showErrorMessage="1" promptTitle="DESCRIBE INVOLVEMENT" prompt="_x000a_Describe how this resource would be involved with the proposal during the development phase of the rule." sqref="D45"/>
    <dataValidation allowBlank="1" showInputMessage="1" showErrorMessage="1" promptTitle="DESCRIBE INVOLVEMENT" prompt="_x000a_Describe how this resource would be involved with the proposal during the implementation phase of the rule." sqref="D52"/>
    <dataValidation allowBlank="1" showInputMessage="1" showErrorMessage="1" promptTitle="DESCRIBE INVOLVEMENT" prompt="Describe how this resource would be involved with the proposal during the implementation phase of the rule." sqref="D35 D18"/>
    <dataValidation type="textLength" allowBlank="1" showInputMessage="1" showErrorMessage="1" promptTitle="DESCRIBE INVOLVEMENT" prompt="Describe how this resource would be involved with the proposal during the development phase of the rule." sqref="D28 D11">
      <formula1>0</formula1>
      <formula2>5000</formula2>
    </dataValidation>
    <dataValidation allowBlank="1" showErrorMessage="1" sqref="D7:P7"/>
  </dataValidations>
  <hyperlinks>
    <hyperlink ref="A1" location="R.0Header" display="⧀ Go to Content"/>
    <hyperlink ref="A2" r:id="rId1" display="⧀ on Q-net"/>
    <hyperlink ref="A9" r:id="rId2" display="⧁ on Q-net"/>
    <hyperlink ref="A26" r:id="rId3" display="⧁ on Q-net"/>
    <hyperlink ref="A43" r:id="rId4" display="⧁ on Q-net"/>
    <hyperlink ref="A60" r:id="rId5" display="⧁ on Q-net"/>
    <hyperlink ref="A80" location="R.6Header" display="Go to Top"/>
  </hyperlinks>
  <pageMargins left="0.25" right="0.25" top="0.41" bottom="0.42" header="0.3" footer="0.3"/>
  <pageSetup orientation="portrait" horizontalDpi="4294967293" verticalDpi="4294967293" r:id="rId6"/>
  <rowBreaks count="2" manualBreakCount="2">
    <brk id="25" min="2" max="16" man="1"/>
    <brk id="59" min="2" max="16" man="1"/>
  </rowBreaks>
  <drawing r:id="rId7"/>
  <legacyDrawing r:id="rId8"/>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Category xmlns="$ListId:docs;">Resources</Category>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BD045245FD660E4D96DF971284C37357" ma:contentTypeVersion="" ma:contentTypeDescription="Create a new document." ma:contentTypeScope="" ma:versionID="25d3b98136261626421db301fa6c1387">
  <xsd:schema xmlns:xsd="http://www.w3.org/2001/XMLSchema" xmlns:p="http://schemas.microsoft.com/office/2006/metadata/properties" xmlns:ns2="$ListId:docs;" targetNamespace="http://schemas.microsoft.com/office/2006/metadata/properties" ma:root="true" ma:fieldsID="e5dc314eae77a4e18825d001e83b2dbc" ns2:_="">
    <xsd:import namespace="$ListId:docs;"/>
    <xsd:element name="properties">
      <xsd:complexType>
        <xsd:sequence>
          <xsd:element name="documentManagement">
            <xsd:complexType>
              <xsd:all>
                <xsd:element ref="ns2:Category"/>
              </xsd:all>
            </xsd:complexType>
          </xsd:element>
        </xsd:sequence>
      </xsd:complexType>
    </xsd:element>
  </xsd:schema>
  <xsd:schema xmlns:xsd="http://www.w3.org/2001/XMLSchema" xmlns:dms="http://schemas.microsoft.com/office/2006/documentManagement/types" targetNamespace="$ListId:docs;" elementFormDefault="qualified">
    <xsd:import namespace="http://schemas.microsoft.com/office/2006/documentManagement/types"/>
    <xsd:element name="Category" ma:index="8" ma:displayName="Category" ma:format="Dropdown" ma:internalName="Category">
      <xsd:simpleType>
        <xsd:union memberTypes="dms:Text">
          <xsd:simpleType>
            <xsd:restriction base="dms:Choice">
              <xsd:enumeration value="Rough Draft"/>
              <xsd:enumeration value="Draft"/>
              <xsd:enumeration value="Team Review"/>
              <xsd:enumeration value="Review"/>
              <xsd:enumeration value="Preview"/>
              <xsd:enumeration value="Final"/>
              <xsd:enumeration value="Publish"/>
              <xsd:enumeration value="Research"/>
              <xsd:enumeration value="Supporting Document"/>
              <xsd:enumeration value="Blank"/>
            </xsd:restriction>
          </xsd:simpleType>
        </xsd:un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77C33C1E-8DEB-4FB9-85EE-E1D6884B1580}">
  <ds:schemaRefs>
    <ds:schemaRef ds:uri="http://schemas.microsoft.com/office/2006/documentManagement/types"/>
    <ds:schemaRef ds:uri="http://purl.org/dc/elements/1.1/"/>
    <ds:schemaRef ds:uri="http://purl.org/dc/terms/"/>
    <ds:schemaRef ds:uri="http://purl.org/dc/dcmitype/"/>
    <ds:schemaRef ds:uri="http://www.w3.org/XML/1998/namespace"/>
    <ds:schemaRef ds:uri="http://schemas.microsoft.com/office/2006/metadata/properties"/>
    <ds:schemaRef ds:uri="$ListId:docs;"/>
    <ds:schemaRef ds:uri="http://schemas.openxmlformats.org/package/2006/metadata/core-properties"/>
  </ds:schemaRefs>
</ds:datastoreItem>
</file>

<file path=customXml/itemProps2.xml><?xml version="1.0" encoding="utf-8"?>
<ds:datastoreItem xmlns:ds="http://schemas.openxmlformats.org/officeDocument/2006/customXml" ds:itemID="{7746A714-B7C3-4CC8-9D8B-86AD77EABF42}">
  <ds:schemaRefs>
    <ds:schemaRef ds:uri="http://schemas.microsoft.com/sharepoint/v3/contenttype/forms"/>
  </ds:schemaRefs>
</ds:datastoreItem>
</file>

<file path=customXml/itemProps3.xml><?xml version="1.0" encoding="utf-8"?>
<ds:datastoreItem xmlns:ds="http://schemas.openxmlformats.org/officeDocument/2006/customXml" ds:itemID="{0FDC7491-BCA1-4E52-BBC4-77BEA74D242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ListId:docs;"/>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19</vt:i4>
      </vt:variant>
      <vt:variant>
        <vt:lpstr>Named Ranges</vt:lpstr>
      </vt:variant>
      <vt:variant>
        <vt:i4>642</vt:i4>
      </vt:variant>
    </vt:vector>
  </HeadingPairs>
  <TitlesOfParts>
    <vt:vector size="661" baseType="lpstr">
      <vt:lpstr>DDLs</vt:lpstr>
      <vt:lpstr>VersionControl</vt:lpstr>
      <vt:lpstr>Summary</vt:lpstr>
      <vt:lpstr>1ProjectRecord</vt:lpstr>
      <vt:lpstr>2Risks</vt:lpstr>
      <vt:lpstr>3CoreTeam</vt:lpstr>
      <vt:lpstr>4Advisors</vt:lpstr>
      <vt:lpstr>5InterestedStaff</vt:lpstr>
      <vt:lpstr>6OtherDivisions</vt:lpstr>
      <vt:lpstr>Workload</vt:lpstr>
      <vt:lpstr>7Regions</vt:lpstr>
      <vt:lpstr>8FinancialServices</vt:lpstr>
      <vt:lpstr>9OCO</vt:lpstr>
      <vt:lpstr>10OrgServices</vt:lpstr>
      <vt:lpstr>11TechServices</vt:lpstr>
      <vt:lpstr>12OCE</vt:lpstr>
      <vt:lpstr>13LEAD</vt:lpstr>
      <vt:lpstr>14Intergovernmental</vt:lpstr>
      <vt:lpstr>15CustomParticipants</vt:lpstr>
      <vt:lpstr>P.1PlanYear</vt:lpstr>
      <vt:lpstr>'10OrgServices'!Print_Area</vt:lpstr>
      <vt:lpstr>'11TechServices'!Print_Area</vt:lpstr>
      <vt:lpstr>'12OCE'!Print_Area</vt:lpstr>
      <vt:lpstr>'13LEAD'!Print_Area</vt:lpstr>
      <vt:lpstr>'14Intergovernmental'!Print_Area</vt:lpstr>
      <vt:lpstr>'15CustomParticipants'!Print_Area</vt:lpstr>
      <vt:lpstr>'1ProjectRecord'!Print_Area</vt:lpstr>
      <vt:lpstr>'2Risks'!Print_Area</vt:lpstr>
      <vt:lpstr>'3CoreTeam'!Print_Area</vt:lpstr>
      <vt:lpstr>'4Advisors'!Print_Area</vt:lpstr>
      <vt:lpstr>'5InterestedStaff'!Print_Area</vt:lpstr>
      <vt:lpstr>'6OtherDivisions'!Print_Area</vt:lpstr>
      <vt:lpstr>'7Regions'!Print_Area</vt:lpstr>
      <vt:lpstr>'8FinancialServices'!Print_Area</vt:lpstr>
      <vt:lpstr>'9OCO'!Print_Area</vt:lpstr>
      <vt:lpstr>Summary!Print_Area</vt:lpstr>
      <vt:lpstr>R.0Header</vt:lpstr>
      <vt:lpstr>R.10Header</vt:lpstr>
      <vt:lpstr>R.10HighDollars</vt:lpstr>
      <vt:lpstr>R.10HighHrs</vt:lpstr>
      <vt:lpstr>R.10HRDevHrs1</vt:lpstr>
      <vt:lpstr>R.10HRDevHrs2</vt:lpstr>
      <vt:lpstr>R.10HRDevHrs3</vt:lpstr>
      <vt:lpstr>R.10HRDevHrs4</vt:lpstr>
      <vt:lpstr>R.10HRDevName1</vt:lpstr>
      <vt:lpstr>R.10HRDevName2</vt:lpstr>
      <vt:lpstr>R.10HRDevName3</vt:lpstr>
      <vt:lpstr>R.10HRDevName4</vt:lpstr>
      <vt:lpstr>R.10HRImpHrs1</vt:lpstr>
      <vt:lpstr>R.10HRImpHrs2</vt:lpstr>
      <vt:lpstr>R.10HRImpHrs3</vt:lpstr>
      <vt:lpstr>R.10HRImpHrs4</vt:lpstr>
      <vt:lpstr>R.10HRImpName1</vt:lpstr>
      <vt:lpstr>R.10HRImpName2</vt:lpstr>
      <vt:lpstr>R.10HRImpName3</vt:lpstr>
      <vt:lpstr>R.10HRImpName4</vt:lpstr>
      <vt:lpstr>R.10LowDollars</vt:lpstr>
      <vt:lpstr>R.10LowHrs</vt:lpstr>
      <vt:lpstr>R.10PolicyDevHrs1</vt:lpstr>
      <vt:lpstr>R.10PolicyDevHrs2</vt:lpstr>
      <vt:lpstr>R.10PolicyDevHrs3</vt:lpstr>
      <vt:lpstr>R.10PolicyDevHrs4</vt:lpstr>
      <vt:lpstr>R.10PolicyDevName1</vt:lpstr>
      <vt:lpstr>R.10PolicyDevName2</vt:lpstr>
      <vt:lpstr>R.10PolicyDevName3</vt:lpstr>
      <vt:lpstr>R.10PolicyDevName4</vt:lpstr>
      <vt:lpstr>R.10PolicyImpHrs1</vt:lpstr>
      <vt:lpstr>R.10PolicyImpHrs2</vt:lpstr>
      <vt:lpstr>R.10PolicyImpHrs3</vt:lpstr>
      <vt:lpstr>R.10PolicyImpHrs4</vt:lpstr>
      <vt:lpstr>R.10PolicyImpName1</vt:lpstr>
      <vt:lpstr>R.10PolicyImpName2</vt:lpstr>
      <vt:lpstr>R.10PolicyImpName3</vt:lpstr>
      <vt:lpstr>R.10PolicyImpName4</vt:lpstr>
      <vt:lpstr>R.10SafetyDevHrs1</vt:lpstr>
      <vt:lpstr>R.10SafetyDevHrs2</vt:lpstr>
      <vt:lpstr>R.10SafetyDevHrs3</vt:lpstr>
      <vt:lpstr>R.10SafetyDevHrs4</vt:lpstr>
      <vt:lpstr>R.10SafetyDevName1</vt:lpstr>
      <vt:lpstr>R.10SafetyDevName2</vt:lpstr>
      <vt:lpstr>R.10SafetyDevName3</vt:lpstr>
      <vt:lpstr>R.10SafetyDevName4</vt:lpstr>
      <vt:lpstr>R.10SafetyImpHrs1</vt:lpstr>
      <vt:lpstr>R.10SafetyImpHrs2</vt:lpstr>
      <vt:lpstr>R.10SafetyImpHrs3</vt:lpstr>
      <vt:lpstr>R.10SafetyImpHrs4</vt:lpstr>
      <vt:lpstr>R.10SafetyImpName1</vt:lpstr>
      <vt:lpstr>R.10SafetyImpName2</vt:lpstr>
      <vt:lpstr>R.10SafetyImpName3</vt:lpstr>
      <vt:lpstr>R.10SafetyImpName4</vt:lpstr>
      <vt:lpstr>R.10StaffCount</vt:lpstr>
      <vt:lpstr>R.10TrainingDevHrs1</vt:lpstr>
      <vt:lpstr>R.10TrainingDevHrs2</vt:lpstr>
      <vt:lpstr>R.10TrainingDevHrs3</vt:lpstr>
      <vt:lpstr>R.10TrainingDevHrs4</vt:lpstr>
      <vt:lpstr>R.10TrainingDevName1</vt:lpstr>
      <vt:lpstr>R.10TrainingDevName2</vt:lpstr>
      <vt:lpstr>R.10TrainingDevName3</vt:lpstr>
      <vt:lpstr>R.10TrainingDevName4</vt:lpstr>
      <vt:lpstr>R.10TrainingImpHrs1</vt:lpstr>
      <vt:lpstr>R.10TrainingImpHrs2</vt:lpstr>
      <vt:lpstr>R.10TrainingImpHrs3</vt:lpstr>
      <vt:lpstr>R.10TrainingImpHrs4</vt:lpstr>
      <vt:lpstr>R.10TrainingImpName1</vt:lpstr>
      <vt:lpstr>R.10TrainingImpName2</vt:lpstr>
      <vt:lpstr>R.10TrainingImpName3</vt:lpstr>
      <vt:lpstr>R.10TrainingImpName4</vt:lpstr>
      <vt:lpstr>R.11BSDDevHrs1</vt:lpstr>
      <vt:lpstr>R.11BSDDevHrs2</vt:lpstr>
      <vt:lpstr>R.11BSDDevHrs3</vt:lpstr>
      <vt:lpstr>R.11BSDDevHrs4</vt:lpstr>
      <vt:lpstr>R.11BSDDevName1</vt:lpstr>
      <vt:lpstr>R.11BSDDevName2</vt:lpstr>
      <vt:lpstr>R.11BSDDevName3</vt:lpstr>
      <vt:lpstr>R.11BSDDevName4</vt:lpstr>
      <vt:lpstr>R.11BSDImpHrs1</vt:lpstr>
      <vt:lpstr>R.11BSDImpHrs2</vt:lpstr>
      <vt:lpstr>R.11BSDImpHrs3</vt:lpstr>
      <vt:lpstr>R.11BSDImpHrs4</vt:lpstr>
      <vt:lpstr>R.11BSDImpName1</vt:lpstr>
      <vt:lpstr>R.11BSDImpName2</vt:lpstr>
      <vt:lpstr>R.11BSDImpName3</vt:lpstr>
      <vt:lpstr>R.11BSDImpName4</vt:lpstr>
      <vt:lpstr>R.11DivTechDevHrs1</vt:lpstr>
      <vt:lpstr>R.11DivTechDevHrs2</vt:lpstr>
      <vt:lpstr>R.11DivTechDevHrs3</vt:lpstr>
      <vt:lpstr>R.11DivTechDevHrs4</vt:lpstr>
      <vt:lpstr>R.11DivTechDevName1</vt:lpstr>
      <vt:lpstr>R.11DivTechDevName2</vt:lpstr>
      <vt:lpstr>R.11DivTechDevName3</vt:lpstr>
      <vt:lpstr>R.11DivTechDevName4</vt:lpstr>
      <vt:lpstr>R.11DivTechImpHrs1</vt:lpstr>
      <vt:lpstr>R.11DivTechImpHrs2</vt:lpstr>
      <vt:lpstr>R.11DivTechImpHrs3</vt:lpstr>
      <vt:lpstr>R.11DivTechImpHrs4</vt:lpstr>
      <vt:lpstr>R.11DivTechImpName1</vt:lpstr>
      <vt:lpstr>R.11DivTechImpName2</vt:lpstr>
      <vt:lpstr>R.11DivTechImpName3</vt:lpstr>
      <vt:lpstr>R.11DivTechImpName4</vt:lpstr>
      <vt:lpstr>R.11Header</vt:lpstr>
      <vt:lpstr>R.11HighDollars</vt:lpstr>
      <vt:lpstr>R.11HighHrs</vt:lpstr>
      <vt:lpstr>R.11ITDevHrs1</vt:lpstr>
      <vt:lpstr>R.11ITDevHrs2</vt:lpstr>
      <vt:lpstr>R.11ITDevHrs3</vt:lpstr>
      <vt:lpstr>R.11ITDevHrs4</vt:lpstr>
      <vt:lpstr>R.11ITDevName1</vt:lpstr>
      <vt:lpstr>R.11ITDevName2</vt:lpstr>
      <vt:lpstr>R.11ITDevName3</vt:lpstr>
      <vt:lpstr>R.11ITDevName4</vt:lpstr>
      <vt:lpstr>R.11ITImpHrs1</vt:lpstr>
      <vt:lpstr>R.11ITImpHrs2</vt:lpstr>
      <vt:lpstr>R.11ITImpHrs3</vt:lpstr>
      <vt:lpstr>R.11ITImpHrs4</vt:lpstr>
      <vt:lpstr>R.11ITImpName1</vt:lpstr>
      <vt:lpstr>R.11ITImpName2</vt:lpstr>
      <vt:lpstr>R.11ITImpName3</vt:lpstr>
      <vt:lpstr>R.11ITImpName4</vt:lpstr>
      <vt:lpstr>R.11LowDollars</vt:lpstr>
      <vt:lpstr>R.11LowHrs</vt:lpstr>
      <vt:lpstr>R.11StaffCount</vt:lpstr>
      <vt:lpstr>R.12Header</vt:lpstr>
      <vt:lpstr>R.12HighDollars</vt:lpstr>
      <vt:lpstr>R.12HighHrs</vt:lpstr>
      <vt:lpstr>R.12LowDollars</vt:lpstr>
      <vt:lpstr>R.12LowHrs</vt:lpstr>
      <vt:lpstr>R.12OCEDevHrs1</vt:lpstr>
      <vt:lpstr>R.12OCEDevHrs2</vt:lpstr>
      <vt:lpstr>R.12OCEDevHrs3</vt:lpstr>
      <vt:lpstr>R.12OCEDevHrs4</vt:lpstr>
      <vt:lpstr>R.12OCEDevName1</vt:lpstr>
      <vt:lpstr>R.12OCEDevName2</vt:lpstr>
      <vt:lpstr>R.12OCEDevName3</vt:lpstr>
      <vt:lpstr>R.12OCEDevName4</vt:lpstr>
      <vt:lpstr>R.12OCEImpHrs1</vt:lpstr>
      <vt:lpstr>R.12OCEImpHrs2</vt:lpstr>
      <vt:lpstr>R.12OCEImpHrs3</vt:lpstr>
      <vt:lpstr>R.12OCEImpHrs4</vt:lpstr>
      <vt:lpstr>R.12OCEImpName1</vt:lpstr>
      <vt:lpstr>R.12OCEImpName2</vt:lpstr>
      <vt:lpstr>R.12OCEImpName3</vt:lpstr>
      <vt:lpstr>R.12OCEImpName4</vt:lpstr>
      <vt:lpstr>R.12StaffCount</vt:lpstr>
      <vt:lpstr>R.13Header</vt:lpstr>
      <vt:lpstr>R.13HighDollars</vt:lpstr>
      <vt:lpstr>R.13HighHrs</vt:lpstr>
      <vt:lpstr>R.13LowDollars</vt:lpstr>
      <vt:lpstr>R.13LowHrs</vt:lpstr>
      <vt:lpstr>R.13MonitorDevHrs1</vt:lpstr>
      <vt:lpstr>R.13MonitorDevHrs2</vt:lpstr>
      <vt:lpstr>R.13MonitorDevHrs3</vt:lpstr>
      <vt:lpstr>R.13MonitorDevHrs4</vt:lpstr>
      <vt:lpstr>R.13MonitorDevName1</vt:lpstr>
      <vt:lpstr>R.13MonitorDevName2</vt:lpstr>
      <vt:lpstr>R.13MonitorDevName3</vt:lpstr>
      <vt:lpstr>R.13MonitorDevName4</vt:lpstr>
      <vt:lpstr>R.13MonitorImpHrs1</vt:lpstr>
      <vt:lpstr>R.13MonitorImpHrs2</vt:lpstr>
      <vt:lpstr>R.13MonitorImpHrs3</vt:lpstr>
      <vt:lpstr>R.13MonitorImpHrs4</vt:lpstr>
      <vt:lpstr>R.13MonitorImpName1</vt:lpstr>
      <vt:lpstr>R.13MonitorImpName2</vt:lpstr>
      <vt:lpstr>R.13MonitorImpName3</vt:lpstr>
      <vt:lpstr>R.13MonitorImpName4</vt:lpstr>
      <vt:lpstr>R.13QADevHrs1</vt:lpstr>
      <vt:lpstr>R.13QADevHrs2</vt:lpstr>
      <vt:lpstr>R.13QADevHrs3</vt:lpstr>
      <vt:lpstr>R.13QADevHrs4</vt:lpstr>
      <vt:lpstr>R.13QADevName1</vt:lpstr>
      <vt:lpstr>R.13QADevName2</vt:lpstr>
      <vt:lpstr>R.13QADevName3</vt:lpstr>
      <vt:lpstr>R.13QADevName4</vt:lpstr>
      <vt:lpstr>R.13QAImpHrs1</vt:lpstr>
      <vt:lpstr>R.13QAImpHrs2</vt:lpstr>
      <vt:lpstr>R.13QAImpHrs3</vt:lpstr>
      <vt:lpstr>R.13QAImpHrs4</vt:lpstr>
      <vt:lpstr>R.13QAImpName1</vt:lpstr>
      <vt:lpstr>R.13QAImpName2</vt:lpstr>
      <vt:lpstr>R.13QAImpName3</vt:lpstr>
      <vt:lpstr>R.13QAImpName4</vt:lpstr>
      <vt:lpstr>R.13StaffCount</vt:lpstr>
      <vt:lpstr>R.13TestDevHrs1</vt:lpstr>
      <vt:lpstr>R.13TestDevHrs2</vt:lpstr>
      <vt:lpstr>R.13TestDevHrs3</vt:lpstr>
      <vt:lpstr>R.13TestDevHrs4</vt:lpstr>
      <vt:lpstr>R.13TestDevName1</vt:lpstr>
      <vt:lpstr>R.13TestDevName2</vt:lpstr>
      <vt:lpstr>R.13TestDevName3</vt:lpstr>
      <vt:lpstr>R.13TestDevName4</vt:lpstr>
      <vt:lpstr>R.13TestImpHrs1</vt:lpstr>
      <vt:lpstr>R.13TestImpHrs2</vt:lpstr>
      <vt:lpstr>R.13TestImpHrs3</vt:lpstr>
      <vt:lpstr>R.13TestImpHrs4</vt:lpstr>
      <vt:lpstr>R.13TestImpName1</vt:lpstr>
      <vt:lpstr>R.13TestImpName2</vt:lpstr>
      <vt:lpstr>R.13TestImpName3</vt:lpstr>
      <vt:lpstr>R.13TestImpName4</vt:lpstr>
      <vt:lpstr>R.14CountyDevHrs1</vt:lpstr>
      <vt:lpstr>R.14CountyDevHrs2</vt:lpstr>
      <vt:lpstr>R.14CountyDevHrs3</vt:lpstr>
      <vt:lpstr>R.14CountyDevHrs4</vt:lpstr>
      <vt:lpstr>R.14CountyDevName1</vt:lpstr>
      <vt:lpstr>R.14CountyDevName2</vt:lpstr>
      <vt:lpstr>R.14CountyDevName3</vt:lpstr>
      <vt:lpstr>R.14CountyDevName4</vt:lpstr>
      <vt:lpstr>R.14CountyImpHrs1</vt:lpstr>
      <vt:lpstr>R.14CountyImpHrs2</vt:lpstr>
      <vt:lpstr>R.14CountyImpHrs3</vt:lpstr>
      <vt:lpstr>R.14CountyImpHrs4</vt:lpstr>
      <vt:lpstr>R.14CountyImpName1</vt:lpstr>
      <vt:lpstr>R.14CountyImpName2</vt:lpstr>
      <vt:lpstr>R.14CountyImpName3</vt:lpstr>
      <vt:lpstr>R.14CountyImpName4</vt:lpstr>
      <vt:lpstr>R.14DistrictsDevHrs1</vt:lpstr>
      <vt:lpstr>R.14DistrictsDevHrs2</vt:lpstr>
      <vt:lpstr>R.14DistrictsDevHrs3</vt:lpstr>
      <vt:lpstr>R.14DistrictsDevHrs4</vt:lpstr>
      <vt:lpstr>R.14DistrictsDevName1</vt:lpstr>
      <vt:lpstr>R.14DistrictsDevName2</vt:lpstr>
      <vt:lpstr>R.14DistrictsDevName3</vt:lpstr>
      <vt:lpstr>R.14DistrictsDevName4</vt:lpstr>
      <vt:lpstr>R.14DistrictsImpHrs1</vt:lpstr>
      <vt:lpstr>R.14DistrictsImpHrs2</vt:lpstr>
      <vt:lpstr>R.14DistrictsImpHrs3</vt:lpstr>
      <vt:lpstr>R.14DistrictsImpHrs4</vt:lpstr>
      <vt:lpstr>R.14DistrictsImpName1</vt:lpstr>
      <vt:lpstr>R.14DistrictsImpName2</vt:lpstr>
      <vt:lpstr>R.14DistrictsImpName3</vt:lpstr>
      <vt:lpstr>R.14DistrictsImpName4</vt:lpstr>
      <vt:lpstr>R.14EPADevHrs1</vt:lpstr>
      <vt:lpstr>R.14EPADevHrs2</vt:lpstr>
      <vt:lpstr>R.14EPADevHrs3</vt:lpstr>
      <vt:lpstr>R.14EPADevHrs4</vt:lpstr>
      <vt:lpstr>R.14EPADevName1</vt:lpstr>
      <vt:lpstr>R.14EPADevName2</vt:lpstr>
      <vt:lpstr>R.14EPADevName3</vt:lpstr>
      <vt:lpstr>R.14EPADevName4</vt:lpstr>
      <vt:lpstr>R.14EPAImpHrs1</vt:lpstr>
      <vt:lpstr>R.14EPAImpHrs2</vt:lpstr>
      <vt:lpstr>R.14EPAImpHrs3</vt:lpstr>
      <vt:lpstr>R.14EPAImpHrs4</vt:lpstr>
      <vt:lpstr>R.14EPAImpName1</vt:lpstr>
      <vt:lpstr>R.14EPAImpName2</vt:lpstr>
      <vt:lpstr>R.14EPAImpName3</vt:lpstr>
      <vt:lpstr>R.14EPAImpName4</vt:lpstr>
      <vt:lpstr>R.14Header</vt:lpstr>
      <vt:lpstr>R.14HighDollars</vt:lpstr>
      <vt:lpstr>R.14HighHrs</vt:lpstr>
      <vt:lpstr>R.14LowDollars</vt:lpstr>
      <vt:lpstr>R.14LowHrs</vt:lpstr>
      <vt:lpstr>R.14LRAPADevHrs1</vt:lpstr>
      <vt:lpstr>R.14LRAPADevHrs2</vt:lpstr>
      <vt:lpstr>R.14LRAPADevHrs3</vt:lpstr>
      <vt:lpstr>R.14LRAPADevHrs4</vt:lpstr>
      <vt:lpstr>R.14LRAPADevName1</vt:lpstr>
      <vt:lpstr>R.14LRAPADevName2</vt:lpstr>
      <vt:lpstr>R.14LRAPADevName3</vt:lpstr>
      <vt:lpstr>R.14LRAPADevName4</vt:lpstr>
      <vt:lpstr>R.14LRAPAImpHrs1</vt:lpstr>
      <vt:lpstr>R.14LRAPAImpHrs2</vt:lpstr>
      <vt:lpstr>R.14LRAPAImpHrs3</vt:lpstr>
      <vt:lpstr>R.14LRAPAImpHrs4</vt:lpstr>
      <vt:lpstr>R.14LRAPAImpName1</vt:lpstr>
      <vt:lpstr>R.14LRAPAImpName2</vt:lpstr>
      <vt:lpstr>R.14LRAPAImpName3</vt:lpstr>
      <vt:lpstr>R.14LRAPAImpName4</vt:lpstr>
      <vt:lpstr>R.14MuniDevHrs1</vt:lpstr>
      <vt:lpstr>R.14MuniDevHrs2</vt:lpstr>
      <vt:lpstr>R.14MuniDevHrs3</vt:lpstr>
      <vt:lpstr>R.14MuniDevHrs4</vt:lpstr>
      <vt:lpstr>R.14MuniDevName1</vt:lpstr>
      <vt:lpstr>R.14MuniDevName2</vt:lpstr>
      <vt:lpstr>R.14MuniDevName3</vt:lpstr>
      <vt:lpstr>R.14MuniDevName4</vt:lpstr>
      <vt:lpstr>R.14MuniImpHrs1</vt:lpstr>
      <vt:lpstr>R.14MuniImpHrs2</vt:lpstr>
      <vt:lpstr>R.14MuniImpHrs3</vt:lpstr>
      <vt:lpstr>R.14MuniImpHrs4</vt:lpstr>
      <vt:lpstr>R.14MuniImpName1</vt:lpstr>
      <vt:lpstr>R.14MuniImpName2</vt:lpstr>
      <vt:lpstr>R.14MuniImpName3</vt:lpstr>
      <vt:lpstr>R.14MuniImpName4</vt:lpstr>
      <vt:lpstr>R.14StaffCount</vt:lpstr>
      <vt:lpstr>R.14TribeDevHrs1</vt:lpstr>
      <vt:lpstr>R.14TribeDevHrs2</vt:lpstr>
      <vt:lpstr>R.14TribeDevHrs3</vt:lpstr>
      <vt:lpstr>R.14TribeDevHrs4</vt:lpstr>
      <vt:lpstr>R.14TribeDevName1</vt:lpstr>
      <vt:lpstr>R.14TribeDevName2</vt:lpstr>
      <vt:lpstr>R.14TribeDevName3</vt:lpstr>
      <vt:lpstr>R.14TribeDevName4</vt:lpstr>
      <vt:lpstr>R.14TribeImpHrs1</vt:lpstr>
      <vt:lpstr>R.14TribeImpHrs2</vt:lpstr>
      <vt:lpstr>R.14TribeImpHrs3</vt:lpstr>
      <vt:lpstr>R.14TribeImpHrs4</vt:lpstr>
      <vt:lpstr>R.14TribeImpName1</vt:lpstr>
      <vt:lpstr>R.14TribeImpName2</vt:lpstr>
      <vt:lpstr>R.14TribeImpName3</vt:lpstr>
      <vt:lpstr>R.14TribeImpName4</vt:lpstr>
      <vt:lpstr>R.15Header</vt:lpstr>
      <vt:lpstr>R.15HighDollars</vt:lpstr>
      <vt:lpstr>R.15HighHrs</vt:lpstr>
      <vt:lpstr>R.15LowDollars</vt:lpstr>
      <vt:lpstr>R.15LowHrs</vt:lpstr>
      <vt:lpstr>R.15StaffCount</vt:lpstr>
      <vt:lpstr>R.1CodeName</vt:lpstr>
      <vt:lpstr>R.1Division</vt:lpstr>
      <vt:lpstr>R.1Header</vt:lpstr>
      <vt:lpstr>R.1MediaAndLongName</vt:lpstr>
      <vt:lpstr>R.1MediumName</vt:lpstr>
      <vt:lpstr>R.1ProjectName</vt:lpstr>
      <vt:lpstr>R.2aOrgRisk</vt:lpstr>
      <vt:lpstr>R.2bOrgRisk</vt:lpstr>
      <vt:lpstr>R.2cOrgRisk</vt:lpstr>
      <vt:lpstr>R.2Header</vt:lpstr>
      <vt:lpstr>R.3CustomHrs1</vt:lpstr>
      <vt:lpstr>R.3CustomHrs2</vt:lpstr>
      <vt:lpstr>R.3CustomName1</vt:lpstr>
      <vt:lpstr>R.3CustomName2</vt:lpstr>
      <vt:lpstr>R.3CustomRole1</vt:lpstr>
      <vt:lpstr>R.3CustomRole2</vt:lpstr>
      <vt:lpstr>R.3Header</vt:lpstr>
      <vt:lpstr>R.3HighDollars</vt:lpstr>
      <vt:lpstr>R.3HighHrs</vt:lpstr>
      <vt:lpstr>R.3LAHrs</vt:lpstr>
      <vt:lpstr>R.3LAname</vt:lpstr>
      <vt:lpstr>R.3LMHrs</vt:lpstr>
      <vt:lpstr>R.3LMname</vt:lpstr>
      <vt:lpstr>R.3LowDollars</vt:lpstr>
      <vt:lpstr>R.3LowHrs</vt:lpstr>
      <vt:lpstr>R.3PAHrs</vt:lpstr>
      <vt:lpstr>R.3PAname</vt:lpstr>
      <vt:lpstr>R.3PEHrs</vt:lpstr>
      <vt:lpstr>R.3PEname</vt:lpstr>
      <vt:lpstr>R.3SEhrs</vt:lpstr>
      <vt:lpstr>R.3SEname</vt:lpstr>
      <vt:lpstr>R.3StaffCount</vt:lpstr>
      <vt:lpstr>R.4AGHrs</vt:lpstr>
      <vt:lpstr>R.4AGName</vt:lpstr>
      <vt:lpstr>R.4ARCHrs</vt:lpstr>
      <vt:lpstr>R.4ARCName</vt:lpstr>
      <vt:lpstr>R.4ASIPCoHrs</vt:lpstr>
      <vt:lpstr>R.4CustomAName</vt:lpstr>
      <vt:lpstr>R.4CustomBName</vt:lpstr>
      <vt:lpstr>R.4CustomHrs1</vt:lpstr>
      <vt:lpstr>R.4CustomHrs2</vt:lpstr>
      <vt:lpstr>R.4CustomRole1</vt:lpstr>
      <vt:lpstr>R.4CustomRole2</vt:lpstr>
      <vt:lpstr>R.4Header</vt:lpstr>
      <vt:lpstr>R.4HighDollars</vt:lpstr>
      <vt:lpstr>R.4HighHrs</vt:lpstr>
      <vt:lpstr>R.4LowDollars</vt:lpstr>
      <vt:lpstr>R.4LowHrs</vt:lpstr>
      <vt:lpstr>R.4SIPCoName</vt:lpstr>
      <vt:lpstr>R.4StaffCount</vt:lpstr>
      <vt:lpstr>R.5EQCHrs1</vt:lpstr>
      <vt:lpstr>R.5EQCHrs2</vt:lpstr>
      <vt:lpstr>R.5EQCHrs3</vt:lpstr>
      <vt:lpstr>R.5EQCHrs4</vt:lpstr>
      <vt:lpstr>R.5EQCHrs5</vt:lpstr>
      <vt:lpstr>R.5EQCHrs6</vt:lpstr>
      <vt:lpstr>R.5EQCName1</vt:lpstr>
      <vt:lpstr>R.5EQCName2</vt:lpstr>
      <vt:lpstr>R.5EQCName3</vt:lpstr>
      <vt:lpstr>R.5EQCName4</vt:lpstr>
      <vt:lpstr>R.5EQCName5</vt:lpstr>
      <vt:lpstr>R.5EQCName6</vt:lpstr>
      <vt:lpstr>R.5Header</vt:lpstr>
      <vt:lpstr>R.5HighDollars</vt:lpstr>
      <vt:lpstr>R.5HighHrs</vt:lpstr>
      <vt:lpstr>R.5InterestedStaffHrsA</vt:lpstr>
      <vt:lpstr>R.5InterestedStaffHrsB</vt:lpstr>
      <vt:lpstr>R.5InterestedStaffHrsC</vt:lpstr>
      <vt:lpstr>R.5InterestedStaffHrsD</vt:lpstr>
      <vt:lpstr>R.5InterestedStaffNameA</vt:lpstr>
      <vt:lpstr>R.5InterestedStaffNameB</vt:lpstr>
      <vt:lpstr>R.5InterestedStaffNameC</vt:lpstr>
      <vt:lpstr>R.5InterestedStaffNameD</vt:lpstr>
      <vt:lpstr>R.5LowDollars</vt:lpstr>
      <vt:lpstr>R.5LowHrs</vt:lpstr>
      <vt:lpstr>R.5StaffCount</vt:lpstr>
      <vt:lpstr>R.6AQDevHrs1</vt:lpstr>
      <vt:lpstr>R.6AQDevHrs2</vt:lpstr>
      <vt:lpstr>R.6AQDevHrs3</vt:lpstr>
      <vt:lpstr>R.6AQDevHrs4</vt:lpstr>
      <vt:lpstr>R.6AQDevName1</vt:lpstr>
      <vt:lpstr>R.6AQDevName2</vt:lpstr>
      <vt:lpstr>R.6AQDevName3</vt:lpstr>
      <vt:lpstr>R.6AQDevName4</vt:lpstr>
      <vt:lpstr>R.6AQImpHrs1</vt:lpstr>
      <vt:lpstr>R.6AQImpHrs2</vt:lpstr>
      <vt:lpstr>R.6AQImpHrs3</vt:lpstr>
      <vt:lpstr>R.6AQImpHrs4</vt:lpstr>
      <vt:lpstr>R.6AQImpName1</vt:lpstr>
      <vt:lpstr>R.6AQImpName2</vt:lpstr>
      <vt:lpstr>R.6AQImpName3</vt:lpstr>
      <vt:lpstr>R.6AQImpName4</vt:lpstr>
      <vt:lpstr>R.6Header</vt:lpstr>
      <vt:lpstr>R.6HighDollars</vt:lpstr>
      <vt:lpstr>R.6HighHrs</vt:lpstr>
      <vt:lpstr>R.6LowDollars</vt:lpstr>
      <vt:lpstr>R.6LowHrs</vt:lpstr>
      <vt:lpstr>R.6LQDevHrs1</vt:lpstr>
      <vt:lpstr>R.6LQDevHrs2</vt:lpstr>
      <vt:lpstr>R.6LQDevHrs3</vt:lpstr>
      <vt:lpstr>R.6LQDevHrs4</vt:lpstr>
      <vt:lpstr>R.6LQDevName1</vt:lpstr>
      <vt:lpstr>R.6LQDevName2</vt:lpstr>
      <vt:lpstr>R.6LQDevName3</vt:lpstr>
      <vt:lpstr>R.6LQDevName4</vt:lpstr>
      <vt:lpstr>R.6LQImpHrs1</vt:lpstr>
      <vt:lpstr>R.6LQImpHrs2</vt:lpstr>
      <vt:lpstr>R.6LQImpHrs3</vt:lpstr>
      <vt:lpstr>R.6LQImpHrs4</vt:lpstr>
      <vt:lpstr>R.6LQImpName1</vt:lpstr>
      <vt:lpstr>R.6LQImpName2</vt:lpstr>
      <vt:lpstr>R.6LQImpName3</vt:lpstr>
      <vt:lpstr>R.6LQImpName4</vt:lpstr>
      <vt:lpstr>R.6MSDDevHrs1</vt:lpstr>
      <vt:lpstr>R.6MSDDevHrs2</vt:lpstr>
      <vt:lpstr>R.6MSDDevHrs3</vt:lpstr>
      <vt:lpstr>R.6MSDDevHrs4</vt:lpstr>
      <vt:lpstr>R.6MSDDevName1</vt:lpstr>
      <vt:lpstr>R.6MSDDevName2</vt:lpstr>
      <vt:lpstr>R.6MSDDevName3</vt:lpstr>
      <vt:lpstr>R.6MSDDevName4</vt:lpstr>
      <vt:lpstr>R.6MSDImpHrs1</vt:lpstr>
      <vt:lpstr>R.6MSDImpHrs2</vt:lpstr>
      <vt:lpstr>R.6MSDImpHrs3</vt:lpstr>
      <vt:lpstr>R.6MSDImpHrs4</vt:lpstr>
      <vt:lpstr>R.6MSDImpName1</vt:lpstr>
      <vt:lpstr>R.6MSDImpName2</vt:lpstr>
      <vt:lpstr>R.6MSDImpName3</vt:lpstr>
      <vt:lpstr>R.6MSDImpName4</vt:lpstr>
      <vt:lpstr>R.6StaffCount</vt:lpstr>
      <vt:lpstr>R.6WQDevHrs1</vt:lpstr>
      <vt:lpstr>R.6WQDevHrs2</vt:lpstr>
      <vt:lpstr>R.6WQDevHrs3</vt:lpstr>
      <vt:lpstr>R.6WQDevHrs4</vt:lpstr>
      <vt:lpstr>R.6WQDevName1</vt:lpstr>
      <vt:lpstr>R.6WQDevName2</vt:lpstr>
      <vt:lpstr>R.6WQDevName3</vt:lpstr>
      <vt:lpstr>R.6WQDevName4</vt:lpstr>
      <vt:lpstr>R.6WQImpHrs1</vt:lpstr>
      <vt:lpstr>R.6WQImpHrs2</vt:lpstr>
      <vt:lpstr>R.6WQImpHrs3</vt:lpstr>
      <vt:lpstr>R.6WQImpHrs4</vt:lpstr>
      <vt:lpstr>R.6WQImpName1</vt:lpstr>
      <vt:lpstr>R.6WQImpName2</vt:lpstr>
      <vt:lpstr>R.6WQImpName3</vt:lpstr>
      <vt:lpstr>R.6WQImpName4</vt:lpstr>
      <vt:lpstr>R.7EastDevHrs1</vt:lpstr>
      <vt:lpstr>R.7EastDevHrs2</vt:lpstr>
      <vt:lpstr>R.7EastDevHrs3</vt:lpstr>
      <vt:lpstr>R.7EastDevHrs4</vt:lpstr>
      <vt:lpstr>R.7EastDevName1</vt:lpstr>
      <vt:lpstr>R.7EastDevName2</vt:lpstr>
      <vt:lpstr>R.7EastDevName3</vt:lpstr>
      <vt:lpstr>R.7EastDevName4</vt:lpstr>
      <vt:lpstr>R.7EastImpHrs1</vt:lpstr>
      <vt:lpstr>R.7EastImpHrs2</vt:lpstr>
      <vt:lpstr>R.7EastImpHrs3</vt:lpstr>
      <vt:lpstr>R.7EastImpHrs4</vt:lpstr>
      <vt:lpstr>R.7EastImpName1</vt:lpstr>
      <vt:lpstr>R.7EastImpName2</vt:lpstr>
      <vt:lpstr>R.7EastImpName3</vt:lpstr>
      <vt:lpstr>R.7EastImpName4</vt:lpstr>
      <vt:lpstr>R.7Header</vt:lpstr>
      <vt:lpstr>R.7HighDollars</vt:lpstr>
      <vt:lpstr>R.7HighHrs</vt:lpstr>
      <vt:lpstr>R.7LowDollars</vt:lpstr>
      <vt:lpstr>R.7LowHrs</vt:lpstr>
      <vt:lpstr>R.7NWRegionDevHrs1</vt:lpstr>
      <vt:lpstr>R.7NWRegionDevHrs2</vt:lpstr>
      <vt:lpstr>R.7NWRegionDevHrs3</vt:lpstr>
      <vt:lpstr>R.7NWRegionDevHrs4</vt:lpstr>
      <vt:lpstr>R.7NWRegionDevName1</vt:lpstr>
      <vt:lpstr>R.7NWRegionDevName2</vt:lpstr>
      <vt:lpstr>R.7NWRegionDevName3</vt:lpstr>
      <vt:lpstr>R.7NWRegionDevName4</vt:lpstr>
      <vt:lpstr>R.7NWRegionImpHrs1</vt:lpstr>
      <vt:lpstr>R.7NWRegionImpHrs2</vt:lpstr>
      <vt:lpstr>R.7NWRegionImpHrs3</vt:lpstr>
      <vt:lpstr>R.7NWRegionImpHrs4</vt:lpstr>
      <vt:lpstr>R.7NWRegionImpName1</vt:lpstr>
      <vt:lpstr>R.7NWRegionImpName2</vt:lpstr>
      <vt:lpstr>R.7NWRegionImpName3</vt:lpstr>
      <vt:lpstr>R.7NWRegionImpName4</vt:lpstr>
      <vt:lpstr>R.7StaffCount</vt:lpstr>
      <vt:lpstr>R.7WestDevHrs1</vt:lpstr>
      <vt:lpstr>R.7WestDevHrs2</vt:lpstr>
      <vt:lpstr>R.7WestDevHrs3</vt:lpstr>
      <vt:lpstr>R.7WestDevHrs4</vt:lpstr>
      <vt:lpstr>R.7WestDevName1</vt:lpstr>
      <vt:lpstr>R.7WestDevName2</vt:lpstr>
      <vt:lpstr>R.7WestDevName3</vt:lpstr>
      <vt:lpstr>R.7WestDevName4</vt:lpstr>
      <vt:lpstr>R.7WestImpHrs1</vt:lpstr>
      <vt:lpstr>R.7WestImpHrs2</vt:lpstr>
      <vt:lpstr>R.7WestImpHrs3</vt:lpstr>
      <vt:lpstr>R.7WestImpHrs4</vt:lpstr>
      <vt:lpstr>R.7WestImpName1</vt:lpstr>
      <vt:lpstr>R.7WestImpName2</vt:lpstr>
      <vt:lpstr>R.7WestImpName3</vt:lpstr>
      <vt:lpstr>R.7WestImpName4</vt:lpstr>
      <vt:lpstr>R.8AcctDevHrs1</vt:lpstr>
      <vt:lpstr>R.8AcctDevHrs2</vt:lpstr>
      <vt:lpstr>R.8AcctDevHrs3</vt:lpstr>
      <vt:lpstr>R.8AcctDevHrs4</vt:lpstr>
      <vt:lpstr>R.8AcctDevName1</vt:lpstr>
      <vt:lpstr>R.8AcctDevName2</vt:lpstr>
      <vt:lpstr>R.8AcctDevName3</vt:lpstr>
      <vt:lpstr>R.8AcctDevName4</vt:lpstr>
      <vt:lpstr>R.8AcctImpHrs1</vt:lpstr>
      <vt:lpstr>R.8AcctImpHrs2</vt:lpstr>
      <vt:lpstr>R.8AcctImpHrs3</vt:lpstr>
      <vt:lpstr>R.8AcctImpHrs4</vt:lpstr>
      <vt:lpstr>R.8AcctImpName1</vt:lpstr>
      <vt:lpstr>R.8AcctImpName2</vt:lpstr>
      <vt:lpstr>R.8AcctImpName3</vt:lpstr>
      <vt:lpstr>R.8AcctImpName4</vt:lpstr>
      <vt:lpstr>R.8BudDevHrs1</vt:lpstr>
      <vt:lpstr>R.8BudDevHrs2</vt:lpstr>
      <vt:lpstr>R.8BudDevHrs3</vt:lpstr>
      <vt:lpstr>R.8BudDevHrs4</vt:lpstr>
      <vt:lpstr>R.8BudDevName1</vt:lpstr>
      <vt:lpstr>R.8BudDevName2</vt:lpstr>
      <vt:lpstr>R.8BudDevName3</vt:lpstr>
      <vt:lpstr>R.8BudDevName4</vt:lpstr>
      <vt:lpstr>R.8BudImpHrs1</vt:lpstr>
      <vt:lpstr>R.8BudImpHrs2</vt:lpstr>
      <vt:lpstr>R.8BudImpHrs3</vt:lpstr>
      <vt:lpstr>R.8BudImpHrs4</vt:lpstr>
      <vt:lpstr>R.8BudImpName1</vt:lpstr>
      <vt:lpstr>R.8BudImpName2</vt:lpstr>
      <vt:lpstr>R.8BudImpName3</vt:lpstr>
      <vt:lpstr>R.8BudImpName4</vt:lpstr>
      <vt:lpstr>R.8DContractDevHrs1</vt:lpstr>
      <vt:lpstr>R.8DContractDevHrs2</vt:lpstr>
      <vt:lpstr>R.8DContractDevHrs3</vt:lpstr>
      <vt:lpstr>R.8DContractDevHrs4</vt:lpstr>
      <vt:lpstr>R.8DContractDevName1</vt:lpstr>
      <vt:lpstr>R.8DContractDevName2</vt:lpstr>
      <vt:lpstr>R.8DContractDevName3</vt:lpstr>
      <vt:lpstr>R.8DContractDevName4</vt:lpstr>
      <vt:lpstr>R.8DContractImpHrs1</vt:lpstr>
      <vt:lpstr>R.8DContractImpHrs2</vt:lpstr>
      <vt:lpstr>R.8DContractImpHrs3</vt:lpstr>
      <vt:lpstr>R.8DContractImpHrs4</vt:lpstr>
      <vt:lpstr>R.8DContractImpName1</vt:lpstr>
      <vt:lpstr>R.8DContractImpName2</vt:lpstr>
      <vt:lpstr>R.8DContractImpName3</vt:lpstr>
      <vt:lpstr>R.8DContractImpName4</vt:lpstr>
      <vt:lpstr>R.8Header</vt:lpstr>
      <vt:lpstr>R.8HighDollars</vt:lpstr>
      <vt:lpstr>R.8HighHrs</vt:lpstr>
      <vt:lpstr>R.8LowDollars</vt:lpstr>
      <vt:lpstr>R.8LowHrs</vt:lpstr>
      <vt:lpstr>R.8StaffCount</vt:lpstr>
      <vt:lpstr>R.9ComStrategyDevHrs1</vt:lpstr>
      <vt:lpstr>R.9ComStrategyDevHrs2</vt:lpstr>
      <vt:lpstr>R.9ComStrategyDevHrs3</vt:lpstr>
      <vt:lpstr>R.9ComStrategyDevHrs4</vt:lpstr>
      <vt:lpstr>R.9ComStrategyDevName1</vt:lpstr>
      <vt:lpstr>R.9ComStrategyDevName2</vt:lpstr>
      <vt:lpstr>R.9ComStrategyDevName3</vt:lpstr>
      <vt:lpstr>R.9ComStrategyDevName4</vt:lpstr>
      <vt:lpstr>R.9ComStrategyImpHrs1</vt:lpstr>
      <vt:lpstr>R.9ComStrategyImpHrs2</vt:lpstr>
      <vt:lpstr>R.9ComStrategyImpHrs3</vt:lpstr>
      <vt:lpstr>R.9ComStrategyImpHrs4</vt:lpstr>
      <vt:lpstr>R.9ComStrategyImpName1</vt:lpstr>
      <vt:lpstr>R.9ComStrategyImpName2</vt:lpstr>
      <vt:lpstr>R.9ComStrategyImpName3</vt:lpstr>
      <vt:lpstr>R.9ComStrategyImpName4</vt:lpstr>
      <vt:lpstr>R.9Header</vt:lpstr>
      <vt:lpstr>R.9HighDollars</vt:lpstr>
      <vt:lpstr>R.9HighHrs</vt:lpstr>
      <vt:lpstr>R.9LowDollars</vt:lpstr>
      <vt:lpstr>R.9LowHrs</vt:lpstr>
      <vt:lpstr>R.9PRDevHrs1</vt:lpstr>
      <vt:lpstr>R.9PRDevHrs2</vt:lpstr>
      <vt:lpstr>R.9PRDevHrs3</vt:lpstr>
      <vt:lpstr>R.9PRDevHrs4</vt:lpstr>
      <vt:lpstr>R.9PRDevName1</vt:lpstr>
      <vt:lpstr>R.9PRDevName2</vt:lpstr>
      <vt:lpstr>R.9PRDevName3</vt:lpstr>
      <vt:lpstr>R.9PRDevName4</vt:lpstr>
      <vt:lpstr>R.9PRImpHrs1</vt:lpstr>
      <vt:lpstr>R.9PRImpHrs2</vt:lpstr>
      <vt:lpstr>R.9PRImpHrs3</vt:lpstr>
      <vt:lpstr>R.9PRImpHrs4</vt:lpstr>
      <vt:lpstr>R.9PRImpName1</vt:lpstr>
      <vt:lpstr>R.9PRImpName2</vt:lpstr>
      <vt:lpstr>R.9PRImpName3</vt:lpstr>
      <vt:lpstr>R.9PRImpName4</vt:lpstr>
      <vt:lpstr>R.9StaffCount</vt:lpstr>
      <vt:lpstr>R.9WebDevHrs1</vt:lpstr>
      <vt:lpstr>R.9WebDevHrs2</vt:lpstr>
      <vt:lpstr>R.9WebDevHrs3</vt:lpstr>
      <vt:lpstr>R.9WebDevHrs4</vt:lpstr>
      <vt:lpstr>R.9WebDevName1</vt:lpstr>
      <vt:lpstr>R.9WebDevName2</vt:lpstr>
      <vt:lpstr>R.9WebDevName3</vt:lpstr>
      <vt:lpstr>R.9WebDevName4</vt:lpstr>
      <vt:lpstr>R.9WebImpHrs1</vt:lpstr>
      <vt:lpstr>R.9WebImpHrs2</vt:lpstr>
      <vt:lpstr>R.9WebImpHrs3</vt:lpstr>
      <vt:lpstr>R.9WebImpHrs4</vt:lpstr>
      <vt:lpstr>R.9WebImpName1</vt:lpstr>
      <vt:lpstr>R.9WebImpName2</vt:lpstr>
      <vt:lpstr>R.9WebImpName3</vt:lpstr>
      <vt:lpstr>R.9WebImpName4</vt:lpstr>
      <vt:lpstr>R.AvgHrDEQCost</vt:lpstr>
      <vt:lpstr>R.DDL_DEQResourcesInvolved</vt:lpstr>
      <vt:lpstr>R.DDL_DEQStaffRank</vt:lpstr>
      <vt:lpstr>R.DDL_ProjectPhase</vt:lpstr>
      <vt:lpstr>R.DDL_WorkGroup</vt:lpstr>
      <vt:lpstr>R.DDL_YNNA</vt:lpstr>
      <vt:lpstr>R.VL_DEQResourceHours</vt:lpstr>
      <vt:lpstr>R.VL_DEQResourcesInvolved</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nvick</dc:creator>
  <cp:lastModifiedBy>mvandeh</cp:lastModifiedBy>
  <cp:lastPrinted>2012-08-20T17:54:52Z</cp:lastPrinted>
  <dcterms:created xsi:type="dcterms:W3CDTF">2012-04-11T21:44:01Z</dcterms:created>
  <dcterms:modified xsi:type="dcterms:W3CDTF">2013-04-20T20:30:18Z</dcterms:modified>
  <cp:contentType>Document</cp:contentTyp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0x010100BD045245FD660E4D96DF971284C37357</vt:lpwstr>
  </property>
  <property fmtid="{D5CDD505-2E9C-101B-9397-08002B2CF9AE}" pid="3" name="_CheckOutSrcUrl">
    <vt:lpwstr>http://deqsps/programs/rulemaking/cp/div12/docs/1-Planning/RESOURCES.xlsx</vt:lpwstr>
  </property>
</Properties>
</file>