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785"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H31" s="1"/>
  <c r="G267"/>
  <c r="AAJ398"/>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J5" l="1"/>
  <c r="K6"/>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J4" l="1"/>
  <c r="K5"/>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75"/>
  <c r="AAL205"/>
  <c r="AAL201"/>
  <c r="AAL190"/>
  <c r="G187"/>
  <c r="AAL185"/>
  <c r="AAL181"/>
  <c r="AAL170"/>
  <c r="G167"/>
  <c r="AAL165"/>
  <c r="AAL161"/>
  <c r="AAL150"/>
  <c r="G147"/>
  <c r="AAL145"/>
  <c r="AAL141"/>
  <c r="AAL130"/>
  <c r="G127"/>
  <c r="G107"/>
  <c r="B467"/>
  <c r="B466"/>
  <c r="B465"/>
  <c r="B450"/>
  <c r="B449"/>
  <c r="B417"/>
  <c r="B319"/>
  <c r="C75" i="84"/>
  <c r="B350" i="94"/>
  <c r="AAL121"/>
  <c r="AAL314"/>
  <c r="B19"/>
  <c r="B196" l="1"/>
  <c r="B205"/>
  <c r="B190"/>
  <c r="B201"/>
  <c r="B181"/>
  <c r="B185"/>
  <c r="B170"/>
  <c r="B176"/>
  <c r="B161"/>
  <c r="B165"/>
  <c r="B150"/>
  <c r="B156"/>
  <c r="B141"/>
  <c r="B145"/>
  <c r="B130"/>
  <c r="B136"/>
  <c r="B121"/>
  <c r="B125"/>
  <c r="B110"/>
  <c r="B116"/>
  <c r="G11"/>
  <c r="AAH34"/>
  <c r="H38"/>
  <c r="AAH37"/>
  <c r="H37" s="1"/>
  <c r="AAI40"/>
  <c r="M5"/>
  <c r="N6"/>
  <c r="M4"/>
  <c r="G39"/>
  <c r="B21"/>
  <c r="B237"/>
  <c r="B224"/>
  <c r="B223"/>
  <c r="B222"/>
  <c r="B221"/>
  <c r="B217"/>
  <c r="B216"/>
  <c r="AAL290"/>
  <c r="B419"/>
  <c r="B418"/>
  <c r="AAJ399"/>
  <c r="B379"/>
  <c r="AAL287"/>
  <c r="AAL125"/>
  <c r="AAL110"/>
  <c r="G37" l="1"/>
  <c r="G38"/>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AAG271" l="1"/>
  <c r="G271" s="1"/>
  <c r="Q5"/>
  <c r="R6"/>
  <c r="Q4"/>
  <c r="AAG262"/>
  <c r="AAG47"/>
  <c r="G47" s="1"/>
  <c r="R5" l="1"/>
  <c r="S6"/>
  <c r="R4"/>
  <c r="AAH47"/>
  <c r="AAH262" l="1"/>
  <c r="E262"/>
  <c r="AAG264"/>
  <c r="F262"/>
  <c r="S5"/>
  <c r="T6"/>
  <c r="S4"/>
  <c r="AAH264"/>
  <c r="E264" l="1"/>
  <c r="AAG48"/>
  <c r="E47"/>
  <c r="T5"/>
  <c r="U6"/>
  <c r="T4"/>
  <c r="F47"/>
  <c r="F264"/>
  <c r="AAG265"/>
  <c r="G265" s="1"/>
  <c r="AAH48" l="1"/>
  <c r="U5"/>
  <c r="V6"/>
  <c r="U4"/>
  <c r="F48"/>
  <c r="AAG49"/>
  <c r="AAH265"/>
  <c r="E265" l="1"/>
  <c r="AAH49"/>
  <c r="E48"/>
  <c r="V5"/>
  <c r="W6"/>
  <c r="V4"/>
  <c r="F265"/>
  <c r="AAG266"/>
  <c r="G266" s="1"/>
  <c r="E49" l="1"/>
  <c r="W5"/>
  <c r="X6"/>
  <c r="W4"/>
  <c r="AAG50"/>
  <c r="F49"/>
  <c r="AAH266"/>
  <c r="E266" l="1"/>
  <c r="AAH50"/>
  <c r="H50" s="1"/>
  <c r="X5"/>
  <c r="Y6"/>
  <c r="X4"/>
  <c r="F50"/>
  <c r="AAG67"/>
  <c r="G67" s="1"/>
  <c r="F266"/>
  <c r="AAG267"/>
  <c r="E50" l="1"/>
  <c r="Y5"/>
  <c r="Z6"/>
  <c r="Y4"/>
  <c r="AAH67"/>
  <c r="AAH267"/>
  <c r="H267" s="1"/>
  <c r="E267" l="1"/>
  <c r="Z5"/>
  <c r="AA6"/>
  <c r="Z4"/>
  <c r="F267"/>
  <c r="AAG268"/>
  <c r="G268" l="1"/>
  <c r="E67"/>
  <c r="F67"/>
  <c r="AAG68"/>
  <c r="G68" s="1"/>
  <c r="AA5"/>
  <c r="AB6"/>
  <c r="AA4"/>
  <c r="AAH268"/>
  <c r="H268" s="1"/>
  <c r="E268" l="1"/>
  <c r="AAH68"/>
  <c r="AB5"/>
  <c r="AC6"/>
  <c r="AB4"/>
  <c r="AAG69"/>
  <c r="F68"/>
  <c r="E68"/>
  <c r="F268"/>
  <c r="AAG269"/>
  <c r="G269" s="1"/>
  <c r="AAH69" l="1"/>
  <c r="AC5"/>
  <c r="AD6"/>
  <c r="AC4"/>
  <c r="H69"/>
  <c r="AAH269"/>
  <c r="E269" l="1"/>
  <c r="E69"/>
  <c r="AD5"/>
  <c r="AE6"/>
  <c r="AD4"/>
  <c r="AAG70"/>
  <c r="G70" s="1"/>
  <c r="F69"/>
  <c r="F269"/>
  <c r="AAH70" l="1"/>
  <c r="AE5"/>
  <c r="AF6"/>
  <c r="AE4"/>
  <c r="AAG288"/>
  <c r="G288" s="1"/>
  <c r="AAG286"/>
  <c r="AAG276"/>
  <c r="G276" s="1"/>
  <c r="AAG274"/>
  <c r="G274" s="1"/>
  <c r="AAG287"/>
  <c r="AAG285"/>
  <c r="G285" s="1"/>
  <c r="AAG284"/>
  <c r="G284" s="1"/>
  <c r="AAG275"/>
  <c r="G275" s="1"/>
  <c r="AAG273"/>
  <c r="G273" s="1"/>
  <c r="E70" l="1"/>
  <c r="F70"/>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l="1"/>
  <c r="G72" s="1"/>
  <c r="BH6"/>
  <c r="BH5" s="1"/>
  <c r="BG4"/>
  <c r="G71"/>
  <c r="AAG71"/>
  <c r="AAH72"/>
  <c r="H72" s="1"/>
  <c r="E72" l="1"/>
  <c r="AAG73"/>
  <c r="G73" s="1"/>
  <c r="BI6"/>
  <c r="BI5" s="1"/>
  <c r="BH4"/>
  <c r="F72"/>
  <c r="AAG74" l="1"/>
  <c r="BJ6"/>
  <c r="BJ5" s="1"/>
  <c r="BI4"/>
  <c r="AAH73"/>
  <c r="H73" s="1"/>
  <c r="BK6" l="1"/>
  <c r="BK5" s="1"/>
  <c r="BJ4"/>
  <c r="E73"/>
  <c r="G74"/>
  <c r="AAG75" l="1"/>
  <c r="BL6"/>
  <c r="BL5" s="1"/>
  <c r="BK4"/>
  <c r="F73"/>
  <c r="AAH74"/>
  <c r="H74" s="1"/>
  <c r="BM6" l="1"/>
  <c r="BM5" s="1"/>
  <c r="BL4"/>
  <c r="E74"/>
  <c r="F74"/>
  <c r="G75"/>
  <c r="AAG76" l="1"/>
  <c r="BN6"/>
  <c r="BN5" s="1"/>
  <c r="BM4"/>
  <c r="AAH75"/>
  <c r="H75" s="1"/>
  <c r="BO6" l="1"/>
  <c r="BO5" s="1"/>
  <c r="BN4"/>
  <c r="F75"/>
  <c r="G76"/>
  <c r="E75"/>
  <c r="AAG77" l="1"/>
  <c r="BP6"/>
  <c r="BP5" s="1"/>
  <c r="BO4"/>
  <c r="AAH76"/>
  <c r="H76" s="1"/>
  <c r="BQ6" l="1"/>
  <c r="BQ5" s="1"/>
  <c r="BP4"/>
  <c r="F76"/>
  <c r="G77"/>
  <c r="E76"/>
  <c r="BR6" l="1"/>
  <c r="BR5" s="1"/>
  <c r="BQ4"/>
  <c r="AAH77"/>
  <c r="H77" s="1"/>
  <c r="BS6" l="1"/>
  <c r="BS5" s="1"/>
  <c r="BR4"/>
  <c r="F77"/>
  <c r="BT6" l="1"/>
  <c r="BT5" s="1"/>
  <c r="BS4"/>
  <c r="E77"/>
  <c r="AAG436"/>
  <c r="B445"/>
  <c r="AAG460"/>
  <c r="G460" s="1"/>
  <c r="AAH35"/>
  <c r="H35" s="1"/>
  <c r="AAH29"/>
  <c r="AAH393"/>
  <c r="H393" s="1"/>
  <c r="AAH430"/>
  <c r="H430" s="1"/>
  <c r="AAH436"/>
  <c r="H436" s="1"/>
  <c r="AAG443"/>
  <c r="G443" s="1"/>
  <c r="H34"/>
  <c r="AAH19"/>
  <c r="H19" s="1"/>
  <c r="AAG13"/>
  <c r="AAG15"/>
  <c r="G15" s="1"/>
  <c r="ABB19"/>
  <c r="ABD19" s="1"/>
  <c r="AAG14"/>
  <c r="G14" s="1"/>
  <c r="F39"/>
  <c r="AAH440"/>
  <c r="H440" s="1"/>
  <c r="AAH423" l="1"/>
  <c r="AAH421"/>
  <c r="AAH424"/>
  <c r="AAH422"/>
  <c r="AAH427"/>
  <c r="G34"/>
  <c r="AAH386"/>
  <c r="AAH385"/>
  <c r="H385" s="1"/>
  <c r="AAH384"/>
  <c r="H384" s="1"/>
  <c r="AAH383"/>
  <c r="AAH382"/>
  <c r="AAH381"/>
  <c r="AAH380"/>
  <c r="BU6"/>
  <c r="BU5" s="1"/>
  <c r="BT4"/>
  <c r="F35"/>
  <c r="G35"/>
  <c r="AAH82"/>
  <c r="H82"/>
  <c r="AAH14"/>
  <c r="H14" s="1"/>
  <c r="AAH15"/>
  <c r="H15" s="1"/>
  <c r="AAH13"/>
  <c r="AAH453"/>
  <c r="H453" s="1"/>
  <c r="AAH6"/>
  <c r="F430"/>
  <c r="AAG432"/>
  <c r="AAH40"/>
  <c r="H40" s="1"/>
  <c r="AAH460"/>
  <c r="H460" s="1"/>
  <c r="F37"/>
  <c r="AAH461"/>
  <c r="H461" s="1"/>
  <c r="F38"/>
  <c r="H17"/>
  <c r="F440"/>
  <c r="AAH376"/>
  <c r="AAG455"/>
  <c r="G455" s="1"/>
  <c r="AAH377"/>
  <c r="AAG452"/>
  <c r="G452" s="1"/>
  <c r="AAG440"/>
  <c r="G440" s="1"/>
  <c r="AAH429"/>
  <c r="H429" s="1"/>
  <c r="AAG457"/>
  <c r="G457" s="1"/>
  <c r="AAG453"/>
  <c r="G453" s="1"/>
  <c r="F34"/>
  <c r="AAH464"/>
  <c r="H464" s="1"/>
  <c r="AAH395"/>
  <c r="AAH342"/>
  <c r="H342" s="1"/>
  <c r="AAH406"/>
  <c r="AAG456"/>
  <c r="G456" s="1"/>
  <c r="AAH415"/>
  <c r="AAH428"/>
  <c r="H428" s="1"/>
  <c r="AAG469"/>
  <c r="G469" s="1"/>
  <c r="AAG454"/>
  <c r="G454" s="1"/>
  <c r="AAG458"/>
  <c r="G458" s="1"/>
  <c r="AAH443"/>
  <c r="H443" s="1"/>
  <c r="ABB18"/>
  <c r="AAH454"/>
  <c r="H454" s="1"/>
  <c r="AAH469"/>
  <c r="H469" s="1"/>
  <c r="AAH456"/>
  <c r="H456" s="1"/>
  <c r="ABC19"/>
  <c r="AAH452"/>
  <c r="H452" s="1"/>
  <c r="AAH458"/>
  <c r="H458" s="1"/>
  <c r="AAZ19"/>
  <c r="AAH455"/>
  <c r="H455" s="1"/>
  <c r="AAH457"/>
  <c r="H457" s="1"/>
  <c r="F456" l="1"/>
  <c r="F429"/>
  <c r="G40"/>
  <c r="F453"/>
  <c r="F457"/>
  <c r="F452"/>
  <c r="F454"/>
  <c r="F443"/>
  <c r="F455"/>
  <c r="F458"/>
  <c r="F469"/>
  <c r="F461"/>
  <c r="F460"/>
  <c r="E17"/>
  <c r="AAG386"/>
  <c r="AAG385"/>
  <c r="G385" s="1"/>
  <c r="AAG384"/>
  <c r="G384" s="1"/>
  <c r="AAG383"/>
  <c r="AAG382"/>
  <c r="G382" s="1"/>
  <c r="AAG381"/>
  <c r="G381" s="1"/>
  <c r="AAG380"/>
  <c r="G380" s="1"/>
  <c r="AAH314"/>
  <c r="BV6"/>
  <c r="BV5" s="1"/>
  <c r="BU4"/>
  <c r="AAH44"/>
  <c r="H44" s="1"/>
  <c r="F15"/>
  <c r="AAI13"/>
  <c r="D13" s="1"/>
  <c r="F14"/>
  <c r="AAI15"/>
  <c r="D15" s="1"/>
  <c r="AAI14"/>
  <c r="D14" s="1"/>
  <c r="AAI29"/>
  <c r="D29" s="1"/>
  <c r="E453"/>
  <c r="E443"/>
  <c r="E454"/>
  <c r="E456"/>
  <c r="AAG377"/>
  <c r="AAH28"/>
  <c r="H314"/>
  <c r="F29"/>
  <c r="E452"/>
  <c r="AAZ18"/>
  <c r="ABD18"/>
  <c r="ABB17" s="1"/>
  <c r="F428"/>
  <c r="AAG428"/>
  <c r="G428" s="1"/>
  <c r="AAG429"/>
  <c r="G429" s="1"/>
  <c r="F377"/>
  <c r="F376"/>
  <c r="F17"/>
  <c r="F40"/>
  <c r="AAG461"/>
  <c r="G461" s="1"/>
  <c r="AAH4"/>
  <c r="F464"/>
  <c r="AAY19"/>
  <c r="AAX19" s="1"/>
  <c r="ABA19"/>
  <c r="AAV19" s="1"/>
  <c r="F381"/>
  <c r="F415"/>
  <c r="F406"/>
  <c r="F395"/>
  <c r="E380"/>
  <c r="F380"/>
  <c r="AAH432"/>
  <c r="E458"/>
  <c r="E469"/>
  <c r="E457"/>
  <c r="E455"/>
  <c r="E460"/>
  <c r="E461" l="1"/>
  <c r="E428"/>
  <c r="F314"/>
  <c r="F44"/>
  <c r="E432"/>
  <c r="E429"/>
  <c r="E381"/>
  <c r="G377"/>
  <c r="BW6"/>
  <c r="BW5" s="1"/>
  <c r="BV4"/>
  <c r="AAH344"/>
  <c r="G31"/>
  <c r="H28"/>
  <c r="F13"/>
  <c r="AAG254"/>
  <c r="G254" s="1"/>
  <c r="F31"/>
  <c r="AAH347"/>
  <c r="G363"/>
  <c r="AAH26"/>
  <c r="H26" s="1"/>
  <c r="H363"/>
  <c r="G19"/>
  <c r="ABD17"/>
  <c r="ABC17" s="1"/>
  <c r="AAZ17"/>
  <c r="F432"/>
  <c r="AAG433"/>
  <c r="G433" s="1"/>
  <c r="ABA18"/>
  <c r="AAV18" s="1"/>
  <c r="AAY18"/>
  <c r="AAX18" s="1"/>
  <c r="ABC18"/>
  <c r="F363" l="1"/>
  <c r="E377"/>
  <c r="F347"/>
  <c r="AAG256"/>
  <c r="G256" s="1"/>
  <c r="H365" s="1"/>
  <c r="AAG332"/>
  <c r="G332" s="1"/>
  <c r="F344"/>
  <c r="G26"/>
  <c r="AAG422"/>
  <c r="AAH448"/>
  <c r="H448" s="1"/>
  <c r="AAG323"/>
  <c r="G323" s="1"/>
  <c r="AAH214"/>
  <c r="H214" s="1"/>
  <c r="AAG314"/>
  <c r="G314" s="1"/>
  <c r="AAG301"/>
  <c r="G301" s="1"/>
  <c r="AAH312"/>
  <c r="AAG310"/>
  <c r="AAG259"/>
  <c r="G259" s="1"/>
  <c r="AAG255"/>
  <c r="G255" s="1"/>
  <c r="F26"/>
  <c r="AAG261"/>
  <c r="G261" s="1"/>
  <c r="AAG258"/>
  <c r="G258" s="1"/>
  <c r="AAG393"/>
  <c r="G393" s="1"/>
  <c r="F28"/>
  <c r="AAG260"/>
  <c r="G260" s="1"/>
  <c r="AAG257"/>
  <c r="G257" s="1"/>
  <c r="AAG342"/>
  <c r="G342" s="1"/>
  <c r="AAH219"/>
  <c r="H219" s="1"/>
  <c r="AAH211"/>
  <c r="H211" s="1"/>
  <c r="BX6"/>
  <c r="BX5" s="1"/>
  <c r="BW4"/>
  <c r="AAH27"/>
  <c r="H27" s="1"/>
  <c r="G28"/>
  <c r="E19"/>
  <c r="AAG82"/>
  <c r="AAG85" s="1"/>
  <c r="AAG78"/>
  <c r="G78" s="1"/>
  <c r="AAH71"/>
  <c r="H71" s="1"/>
  <c r="AAH78"/>
  <c r="H78" s="1"/>
  <c r="E363"/>
  <c r="G365"/>
  <c r="AAG430"/>
  <c r="G430" s="1"/>
  <c r="G82"/>
  <c r="F19"/>
  <c r="G21"/>
  <c r="ABB15"/>
  <c r="AAZ15" s="1"/>
  <c r="F382"/>
  <c r="F421"/>
  <c r="AAH433"/>
  <c r="AAY17"/>
  <c r="AAX17" s="1"/>
  <c r="ABA17"/>
  <c r="AAV17" s="1"/>
  <c r="E382"/>
  <c r="AAH332" l="1"/>
  <c r="H332" s="1"/>
  <c r="H370"/>
  <c r="F370" s="1"/>
  <c r="AAH32"/>
  <c r="G370"/>
  <c r="E370" s="1"/>
  <c r="E430"/>
  <c r="F365"/>
  <c r="F219"/>
  <c r="H366"/>
  <c r="H367"/>
  <c r="H368"/>
  <c r="E314"/>
  <c r="AAG376"/>
  <c r="G376" s="1"/>
  <c r="F433"/>
  <c r="F332"/>
  <c r="AAH21"/>
  <c r="H21" s="1"/>
  <c r="E21" s="1"/>
  <c r="F342"/>
  <c r="H369"/>
  <c r="H32"/>
  <c r="AAG373" s="1"/>
  <c r="G364"/>
  <c r="AAG300"/>
  <c r="F214"/>
  <c r="F448"/>
  <c r="F78"/>
  <c r="AAH237"/>
  <c r="H237" s="1"/>
  <c r="AAG211"/>
  <c r="F82"/>
  <c r="F27"/>
  <c r="F393"/>
  <c r="AAG415"/>
  <c r="G415" s="1"/>
  <c r="AAG395"/>
  <c r="G395" s="1"/>
  <c r="AAG406"/>
  <c r="G406" s="1"/>
  <c r="AAH323"/>
  <c r="H323" s="1"/>
  <c r="E323" s="1"/>
  <c r="G367"/>
  <c r="G368"/>
  <c r="G369"/>
  <c r="H364"/>
  <c r="G366"/>
  <c r="AAG372"/>
  <c r="G372" s="1"/>
  <c r="AAG371"/>
  <c r="G371" s="1"/>
  <c r="AAG309"/>
  <c r="G310"/>
  <c r="AAG225"/>
  <c r="G225" s="1"/>
  <c r="AAG344"/>
  <c r="G344" s="1"/>
  <c r="AAG347"/>
  <c r="G347" s="1"/>
  <c r="AAG353" s="1"/>
  <c r="G27"/>
  <c r="AAG237"/>
  <c r="G237" s="1"/>
  <c r="BY6"/>
  <c r="BY5" s="1"/>
  <c r="BX4"/>
  <c r="E78"/>
  <c r="F71"/>
  <c r="E71"/>
  <c r="E365"/>
  <c r="AAH251"/>
  <c r="H251" s="1"/>
  <c r="AAH371"/>
  <c r="H371" s="1"/>
  <c r="F32"/>
  <c r="ABD15"/>
  <c r="ABC15" s="1"/>
  <c r="F21"/>
  <c r="E433"/>
  <c r="E332"/>
  <c r="ABA15"/>
  <c r="AAV15" s="1"/>
  <c r="AAY15"/>
  <c r="AAX15" s="1"/>
  <c r="AAH372" l="1"/>
  <c r="H372" s="1"/>
  <c r="H373"/>
  <c r="E369"/>
  <c r="E344"/>
  <c r="E366"/>
  <c r="E406"/>
  <c r="E415"/>
  <c r="G32"/>
  <c r="F369"/>
  <c r="E376"/>
  <c r="F368"/>
  <c r="F367"/>
  <c r="F366"/>
  <c r="F372"/>
  <c r="AAH353"/>
  <c r="F371"/>
  <c r="F251"/>
  <c r="E347"/>
  <c r="AAH225"/>
  <c r="H225" s="1"/>
  <c r="AAH306"/>
  <c r="F364"/>
  <c r="E368"/>
  <c r="F323"/>
  <c r="E367"/>
  <c r="E364"/>
  <c r="E237"/>
  <c r="E395"/>
  <c r="AAG421"/>
  <c r="E422"/>
  <c r="AAG423"/>
  <c r="AAH309"/>
  <c r="AAG312"/>
  <c r="G312" s="1"/>
  <c r="AAG238"/>
  <c r="G238" s="1"/>
  <c r="F237"/>
  <c r="BZ6"/>
  <c r="BZ5" s="1"/>
  <c r="BY4"/>
  <c r="E371"/>
  <c r="E372"/>
  <c r="AAG354"/>
  <c r="G354" s="1"/>
  <c r="G85"/>
  <c r="F383"/>
  <c r="F422"/>
  <c r="G423"/>
  <c r="E383"/>
  <c r="AAH354" l="1"/>
  <c r="AAG226"/>
  <c r="G226" s="1"/>
  <c r="F225"/>
  <c r="E225"/>
  <c r="E421"/>
  <c r="F353"/>
  <c r="E353"/>
  <c r="AAH238"/>
  <c r="H238" s="1"/>
  <c r="AAG239" s="1"/>
  <c r="G239" s="1"/>
  <c r="CA6"/>
  <c r="CA5" s="1"/>
  <c r="BZ4"/>
  <c r="AAH85"/>
  <c r="H85" s="1"/>
  <c r="E354"/>
  <c r="AAG355"/>
  <c r="G355" s="1"/>
  <c r="F354"/>
  <c r="H423"/>
  <c r="E384"/>
  <c r="F238" l="1"/>
  <c r="AAH226"/>
  <c r="H226" s="1"/>
  <c r="E226" s="1"/>
  <c r="AAH355"/>
  <c r="H355" s="1"/>
  <c r="AAH239"/>
  <c r="H239" s="1"/>
  <c r="E239" s="1"/>
  <c r="E85"/>
  <c r="E238"/>
  <c r="E423"/>
  <c r="AAG424"/>
  <c r="F239"/>
  <c r="CB6"/>
  <c r="CB5" s="1"/>
  <c r="CA4"/>
  <c r="F85"/>
  <c r="AAG90"/>
  <c r="G90" s="1"/>
  <c r="E355"/>
  <c r="F384"/>
  <c r="F423"/>
  <c r="F355" l="1"/>
  <c r="AAG356"/>
  <c r="G356" s="1"/>
  <c r="AAH356" s="1"/>
  <c r="H356" s="1"/>
  <c r="AAG227"/>
  <c r="G227" s="1"/>
  <c r="F226"/>
  <c r="AAG241"/>
  <c r="G241" s="1"/>
  <c r="CC6"/>
  <c r="CC5" s="1"/>
  <c r="CB4"/>
  <c r="AAH90"/>
  <c r="H90" s="1"/>
  <c r="E385"/>
  <c r="AAG357" l="1"/>
  <c r="G357" s="1"/>
  <c r="F356"/>
  <c r="E356"/>
  <c r="AAH227"/>
  <c r="H227" s="1"/>
  <c r="E227" s="1"/>
  <c r="AAG427"/>
  <c r="AAH357"/>
  <c r="AAH241"/>
  <c r="H241" s="1"/>
  <c r="E241" s="1"/>
  <c r="CD6"/>
  <c r="CD5" s="1"/>
  <c r="CC4"/>
  <c r="AAG91"/>
  <c r="G91" s="1"/>
  <c r="F90"/>
  <c r="G300"/>
  <c r="E357"/>
  <c r="E90"/>
  <c r="F424"/>
  <c r="F385"/>
  <c r="E424"/>
  <c r="AAG360" l="1"/>
  <c r="G360" s="1"/>
  <c r="F357"/>
  <c r="AAH271"/>
  <c r="H271" s="1"/>
  <c r="F227"/>
  <c r="AAG228"/>
  <c r="G228" s="1"/>
  <c r="F241"/>
  <c r="AAG242"/>
  <c r="G242" s="1"/>
  <c r="AAH275"/>
  <c r="H275" s="1"/>
  <c r="AAH274"/>
  <c r="AAH273"/>
  <c r="H273" s="1"/>
  <c r="AAH286"/>
  <c r="AAH288"/>
  <c r="CE6"/>
  <c r="CE5" s="1"/>
  <c r="CD4"/>
  <c r="AAH300"/>
  <c r="H300" s="1"/>
  <c r="AAH91"/>
  <c r="H91" s="1"/>
  <c r="AAH360"/>
  <c r="H360" s="1"/>
  <c r="E386"/>
  <c r="E271" l="1"/>
  <c r="AAH284"/>
  <c r="AAH276"/>
  <c r="H276" s="1"/>
  <c r="AAH285"/>
  <c r="H285" s="1"/>
  <c r="F271"/>
  <c r="AAH287"/>
  <c r="H287" s="1"/>
  <c r="F287" s="1"/>
  <c r="AAH228"/>
  <c r="H228" s="1"/>
  <c r="F360"/>
  <c r="E300"/>
  <c r="E91"/>
  <c r="AAH242"/>
  <c r="H242" s="1"/>
  <c r="E242" s="1"/>
  <c r="H284"/>
  <c r="E287"/>
  <c r="H288"/>
  <c r="E275"/>
  <c r="F275"/>
  <c r="H274"/>
  <c r="F273"/>
  <c r="E273"/>
  <c r="E276"/>
  <c r="F276"/>
  <c r="H286"/>
  <c r="CF6"/>
  <c r="CF5" s="1"/>
  <c r="CE4"/>
  <c r="E360"/>
  <c r="F300"/>
  <c r="F91"/>
  <c r="AAG92"/>
  <c r="G92" s="1"/>
  <c r="F386"/>
  <c r="AAG389"/>
  <c r="G389" s="1"/>
  <c r="E285" l="1"/>
  <c r="E288"/>
  <c r="E286"/>
  <c r="F274"/>
  <c r="F284"/>
  <c r="E228"/>
  <c r="AAG229"/>
  <c r="G229" s="1"/>
  <c r="F228"/>
  <c r="F242"/>
  <c r="AAG243"/>
  <c r="G243" s="1"/>
  <c r="E284"/>
  <c r="E274"/>
  <c r="F286"/>
  <c r="F285"/>
  <c r="AAG294"/>
  <c r="F288"/>
  <c r="CG6"/>
  <c r="CG5" s="1"/>
  <c r="CF4"/>
  <c r="AAH92"/>
  <c r="H92" s="1"/>
  <c r="AAH389"/>
  <c r="H389" s="1"/>
  <c r="AAH229" l="1"/>
  <c r="H229" s="1"/>
  <c r="E229"/>
  <c r="F389"/>
  <c r="AAH243"/>
  <c r="H243" s="1"/>
  <c r="E243" s="1"/>
  <c r="E92"/>
  <c r="AAH294"/>
  <c r="CH6"/>
  <c r="CH5" s="1"/>
  <c r="CG4"/>
  <c r="AAG94"/>
  <c r="G94" s="1"/>
  <c r="F92"/>
  <c r="E389"/>
  <c r="F229" l="1"/>
  <c r="AAG233"/>
  <c r="G233" s="1"/>
  <c r="AAG244"/>
  <c r="G244" s="1"/>
  <c r="F243"/>
  <c r="AAG295"/>
  <c r="F294"/>
  <c r="E294"/>
  <c r="CI6"/>
  <c r="CI5" s="1"/>
  <c r="CH4"/>
  <c r="AAH94"/>
  <c r="H94" s="1"/>
  <c r="AAH233" l="1"/>
  <c r="H233" s="1"/>
  <c r="E233"/>
  <c r="AAH244"/>
  <c r="H244" s="1"/>
  <c r="E244"/>
  <c r="E94"/>
  <c r="AAH295"/>
  <c r="E295" s="1"/>
  <c r="CJ6"/>
  <c r="CJ5" s="1"/>
  <c r="CI4"/>
  <c r="AAG95"/>
  <c r="G95" s="1"/>
  <c r="F94"/>
  <c r="H427"/>
  <c r="AAG234" l="1"/>
  <c r="G234" s="1"/>
  <c r="F233"/>
  <c r="F427"/>
  <c r="AAG247"/>
  <c r="G247" s="1"/>
  <c r="F244"/>
  <c r="F295"/>
  <c r="AAG296"/>
  <c r="CK6"/>
  <c r="CK5" s="1"/>
  <c r="CJ4"/>
  <c r="AAH95"/>
  <c r="H95" s="1"/>
  <c r="E427"/>
  <c r="AAH234" l="1"/>
  <c r="H234" s="1"/>
  <c r="AAH247"/>
  <c r="H247" s="1"/>
  <c r="E95"/>
  <c r="AAH296"/>
  <c r="CL6"/>
  <c r="CL5" s="1"/>
  <c r="CK4"/>
  <c r="F95"/>
  <c r="AAG96"/>
  <c r="G96" s="1"/>
  <c r="E296" l="1"/>
  <c r="F234"/>
  <c r="E234"/>
  <c r="F247"/>
  <c r="E247"/>
  <c r="F296"/>
  <c r="AAG297"/>
  <c r="H309"/>
  <c r="CM6"/>
  <c r="CM5" s="1"/>
  <c r="CL4"/>
  <c r="AAH96"/>
  <c r="H96" s="1"/>
  <c r="E96" l="1"/>
  <c r="AAH297"/>
  <c r="AAG307"/>
  <c r="AAH307"/>
  <c r="H307" s="1"/>
  <c r="E309"/>
  <c r="F309"/>
  <c r="AAH310"/>
  <c r="H310" s="1"/>
  <c r="CN6"/>
  <c r="CN5" s="1"/>
  <c r="CM4"/>
  <c r="F96"/>
  <c r="AAG97"/>
  <c r="G97" s="1"/>
  <c r="F297" l="1"/>
  <c r="F307"/>
  <c r="E297"/>
  <c r="G307"/>
  <c r="AAG308"/>
  <c r="G308" s="1"/>
  <c r="E310"/>
  <c r="F310"/>
  <c r="AAG311"/>
  <c r="G311" s="1"/>
  <c r="CO6"/>
  <c r="CO5" s="1"/>
  <c r="CN4"/>
  <c r="AAH97"/>
  <c r="H97" s="1"/>
  <c r="AAH311" l="1"/>
  <c r="H311" s="1"/>
  <c r="E307"/>
  <c r="E97"/>
  <c r="AAH308"/>
  <c r="H308" s="1"/>
  <c r="AAH305"/>
  <c r="E311"/>
  <c r="F311"/>
  <c r="CP6"/>
  <c r="CP5" s="1"/>
  <c r="CO4"/>
  <c r="F97"/>
  <c r="AAG100"/>
  <c r="G100" s="1"/>
  <c r="F308" l="1"/>
  <c r="F305"/>
  <c r="E308"/>
  <c r="H312"/>
  <c r="CQ6"/>
  <c r="CQ5" s="1"/>
  <c r="CP4"/>
  <c r="AAH100"/>
  <c r="H100" s="1"/>
  <c r="F312" l="1"/>
  <c r="E100"/>
  <c r="E312"/>
  <c r="CR6"/>
  <c r="CR5" s="1"/>
  <c r="CQ4"/>
  <c r="AAG101"/>
  <c r="G101" s="1"/>
  <c r="F100"/>
  <c r="CS6" l="1"/>
  <c r="CS5" s="1"/>
  <c r="CR4"/>
  <c r="AAH101"/>
  <c r="H101" s="1"/>
  <c r="E101" l="1"/>
  <c r="CT6"/>
  <c r="CT5" s="1"/>
  <c r="CS4"/>
  <c r="AAG102"/>
  <c r="G102" s="1"/>
  <c r="F101"/>
  <c r="AAH102" l="1"/>
  <c r="H102" s="1"/>
  <c r="CU6"/>
  <c r="CU5" s="1"/>
  <c r="CT4"/>
  <c r="F102"/>
  <c r="AAG103"/>
  <c r="G103" s="1"/>
  <c r="CV6" l="1"/>
  <c r="CV5" s="1"/>
  <c r="CU4"/>
  <c r="AAH103"/>
  <c r="H103" s="1"/>
  <c r="E103" l="1"/>
  <c r="CW6"/>
  <c r="CW5" s="1"/>
  <c r="CV4"/>
  <c r="AAG87"/>
  <c r="G87" s="1"/>
  <c r="F103"/>
  <c r="AAH87" l="1"/>
  <c r="H87" s="1"/>
  <c r="CX6"/>
  <c r="CX5" s="1"/>
  <c r="CW4"/>
  <c r="F87"/>
  <c r="AAG88"/>
  <c r="G88" s="1"/>
  <c r="CY6" l="1"/>
  <c r="CY5" s="1"/>
  <c r="CX4"/>
  <c r="AAH88"/>
  <c r="H88" s="1"/>
  <c r="E88" l="1"/>
  <c r="CZ6"/>
  <c r="CZ5" s="1"/>
  <c r="CY4"/>
  <c r="AAG105"/>
  <c r="G105" s="1"/>
  <c r="F88"/>
  <c r="DA6" l="1"/>
  <c r="DA5" s="1"/>
  <c r="CZ4"/>
  <c r="AAH105"/>
  <c r="H105" s="1"/>
  <c r="E105" l="1"/>
  <c r="DB6"/>
  <c r="DB5" s="1"/>
  <c r="DA4"/>
  <c r="AAG106"/>
  <c r="G106" s="1"/>
  <c r="F105"/>
  <c r="DC6" l="1"/>
  <c r="DC5" s="1"/>
  <c r="DB4"/>
  <c r="AAH106"/>
  <c r="H106" s="1"/>
  <c r="E106" l="1"/>
  <c r="DD6"/>
  <c r="DD5" s="1"/>
  <c r="DC4"/>
  <c r="AAG104"/>
  <c r="G104" s="1"/>
  <c r="F106"/>
  <c r="DE6" l="1"/>
  <c r="DE5" s="1"/>
  <c r="DD4"/>
  <c r="AAH104"/>
  <c r="H104" s="1"/>
  <c r="E104" l="1"/>
  <c r="DF6"/>
  <c r="DF5" s="1"/>
  <c r="DE4"/>
  <c r="AAG108"/>
  <c r="G108" s="1"/>
  <c r="AAG89"/>
  <c r="G89" s="1"/>
  <c r="F104"/>
  <c r="DG6" l="1"/>
  <c r="DG5" s="1"/>
  <c r="DF4"/>
  <c r="AAH108"/>
  <c r="H108" s="1"/>
  <c r="AAH89"/>
  <c r="H89" s="1"/>
  <c r="F89" l="1"/>
  <c r="E108"/>
  <c r="DH6"/>
  <c r="DH5" s="1"/>
  <c r="DG4"/>
  <c r="E89"/>
  <c r="AAG110"/>
  <c r="G110" s="1"/>
  <c r="F108"/>
  <c r="DI6" l="1"/>
  <c r="DI5" s="1"/>
  <c r="DH4"/>
  <c r="AAH110"/>
  <c r="H110" s="1"/>
  <c r="E110" l="1"/>
  <c r="DJ6"/>
  <c r="DJ5" s="1"/>
  <c r="DI4"/>
  <c r="AAG111"/>
  <c r="G111" s="1"/>
  <c r="F110"/>
  <c r="DK6" l="1"/>
  <c r="DK5" s="1"/>
  <c r="DJ4"/>
  <c r="AAH111"/>
  <c r="H111" s="1"/>
  <c r="E111" l="1"/>
  <c r="DL6"/>
  <c r="DL5" s="1"/>
  <c r="DK4"/>
  <c r="AAG112"/>
  <c r="G112" s="1"/>
  <c r="F111"/>
  <c r="DM6" l="1"/>
  <c r="DM5" s="1"/>
  <c r="DL4"/>
  <c r="AAH112"/>
  <c r="H112" s="1"/>
  <c r="E112" l="1"/>
  <c r="DN6"/>
  <c r="DN5" s="1"/>
  <c r="DM4"/>
  <c r="AAG113"/>
  <c r="G113" s="1"/>
  <c r="F112"/>
  <c r="DO6" l="1"/>
  <c r="DO5" s="1"/>
  <c r="DN4"/>
  <c r="AAH113"/>
  <c r="H113" s="1"/>
  <c r="E113" l="1"/>
  <c r="DP6"/>
  <c r="DP5" s="1"/>
  <c r="DO4"/>
  <c r="AAG114"/>
  <c r="G114" s="1"/>
  <c r="F113"/>
  <c r="DQ6" l="1"/>
  <c r="DQ5" s="1"/>
  <c r="DP4"/>
  <c r="AAH114"/>
  <c r="H114" s="1"/>
  <c r="E114" l="1"/>
  <c r="DR6"/>
  <c r="DR5" s="1"/>
  <c r="DQ4"/>
  <c r="AAG116"/>
  <c r="G116" s="1"/>
  <c r="F114"/>
  <c r="DS6" l="1"/>
  <c r="DS5" s="1"/>
  <c r="DR4"/>
  <c r="AAH116"/>
  <c r="H116" s="1"/>
  <c r="E116" l="1"/>
  <c r="DT6"/>
  <c r="DT5" s="1"/>
  <c r="DS4"/>
  <c r="AAG117"/>
  <c r="G117" s="1"/>
  <c r="F116"/>
  <c r="DU6" l="1"/>
  <c r="DU5" s="1"/>
  <c r="DT4"/>
  <c r="AAH117"/>
  <c r="H117" s="1"/>
  <c r="E117" l="1"/>
  <c r="DV6"/>
  <c r="DV5" s="1"/>
  <c r="DU4"/>
  <c r="AAG118"/>
  <c r="G118" s="1"/>
  <c r="F117"/>
  <c r="DW6" l="1"/>
  <c r="DW5" s="1"/>
  <c r="DV4"/>
  <c r="AAH118"/>
  <c r="H118" s="1"/>
  <c r="E118" l="1"/>
  <c r="DX6"/>
  <c r="DX5" s="1"/>
  <c r="DW4"/>
  <c r="AAG119"/>
  <c r="G119" s="1"/>
  <c r="F118"/>
  <c r="DY6" l="1"/>
  <c r="DY5" s="1"/>
  <c r="DX4"/>
  <c r="AAH119"/>
  <c r="H119" s="1"/>
  <c r="E119" l="1"/>
  <c r="DZ6"/>
  <c r="DZ5" s="1"/>
  <c r="DY4"/>
  <c r="AAG121"/>
  <c r="G121" s="1"/>
  <c r="F119"/>
  <c r="EA6" l="1"/>
  <c r="EA5" s="1"/>
  <c r="DZ4"/>
  <c r="AAH121"/>
  <c r="H121" s="1"/>
  <c r="E121" l="1"/>
  <c r="EB6"/>
  <c r="EB5" s="1"/>
  <c r="EA4"/>
  <c r="AAG123"/>
  <c r="G123" s="1"/>
  <c r="F121"/>
  <c r="EC6" l="1"/>
  <c r="EC5" s="1"/>
  <c r="EB4"/>
  <c r="AAH123"/>
  <c r="H123" s="1"/>
  <c r="E123" l="1"/>
  <c r="ED6"/>
  <c r="ED5" s="1"/>
  <c r="EC4"/>
  <c r="AAG124"/>
  <c r="G124" s="1"/>
  <c r="F123"/>
  <c r="EE6" l="1"/>
  <c r="EE5" s="1"/>
  <c r="ED4"/>
  <c r="AAH124"/>
  <c r="H124" s="1"/>
  <c r="E124" l="1"/>
  <c r="EF6"/>
  <c r="EF5" s="1"/>
  <c r="EE4"/>
  <c r="AAG125"/>
  <c r="G125" s="1"/>
  <c r="F124"/>
  <c r="EG6" l="1"/>
  <c r="EG5" s="1"/>
  <c r="EF4"/>
  <c r="AAH125"/>
  <c r="H125" s="1"/>
  <c r="E125" l="1"/>
  <c r="EH6"/>
  <c r="EH5" s="1"/>
  <c r="EG4"/>
  <c r="AAG128"/>
  <c r="G128" s="1"/>
  <c r="AAG126"/>
  <c r="G126" s="1"/>
  <c r="F125"/>
  <c r="EI6" l="1"/>
  <c r="EI5" s="1"/>
  <c r="EH4"/>
  <c r="AAH128"/>
  <c r="H128" s="1"/>
  <c r="AAH126"/>
  <c r="H126" s="1"/>
  <c r="F126" l="1"/>
  <c r="E128"/>
  <c r="EJ6"/>
  <c r="EJ5" s="1"/>
  <c r="EI4"/>
  <c r="E126"/>
  <c r="AAG130"/>
  <c r="G130" s="1"/>
  <c r="F128"/>
  <c r="EK6" l="1"/>
  <c r="EK5" s="1"/>
  <c r="EJ4"/>
  <c r="AAH130"/>
  <c r="H130" s="1"/>
  <c r="E130" l="1"/>
  <c r="EL6"/>
  <c r="EL5" s="1"/>
  <c r="EK4"/>
  <c r="F130"/>
  <c r="AAG131"/>
  <c r="G131" s="1"/>
  <c r="EM6" l="1"/>
  <c r="EM5" s="1"/>
  <c r="EL4"/>
  <c r="AAH131"/>
  <c r="H131" s="1"/>
  <c r="E131" l="1"/>
  <c r="EN6"/>
  <c r="EN5" s="1"/>
  <c r="EM4"/>
  <c r="AAG132"/>
  <c r="G132" s="1"/>
  <c r="F131"/>
  <c r="EO6" l="1"/>
  <c r="EO5" s="1"/>
  <c r="EN4"/>
  <c r="AAH132"/>
  <c r="H132" s="1"/>
  <c r="E132" l="1"/>
  <c r="EP6"/>
  <c r="EP5" s="1"/>
  <c r="EO4"/>
  <c r="AAG133"/>
  <c r="G133" s="1"/>
  <c r="F132"/>
  <c r="EQ6" l="1"/>
  <c r="EQ5" s="1"/>
  <c r="EP4"/>
  <c r="AAH133"/>
  <c r="H133" s="1"/>
  <c r="E133" l="1"/>
  <c r="ER6"/>
  <c r="ER5" s="1"/>
  <c r="EQ4"/>
  <c r="AAG134"/>
  <c r="G134" s="1"/>
  <c r="F133"/>
  <c r="ES6" l="1"/>
  <c r="ES5" s="1"/>
  <c r="ER4"/>
  <c r="AAH134"/>
  <c r="H134" s="1"/>
  <c r="E134" l="1"/>
  <c r="ET6"/>
  <c r="ET5" s="1"/>
  <c r="ES4"/>
  <c r="AAG136"/>
  <c r="G136" s="1"/>
  <c r="F134"/>
  <c r="EU6" l="1"/>
  <c r="EU5" s="1"/>
  <c r="ET4"/>
  <c r="AAH136"/>
  <c r="H136" s="1"/>
  <c r="E136" l="1"/>
  <c r="EV6"/>
  <c r="EV5" s="1"/>
  <c r="EU4"/>
  <c r="AAG137"/>
  <c r="G137" s="1"/>
  <c r="F136"/>
  <c r="EW6" l="1"/>
  <c r="EW5" s="1"/>
  <c r="EV4"/>
  <c r="AAH137"/>
  <c r="H137" s="1"/>
  <c r="E137" l="1"/>
  <c r="EX6"/>
  <c r="EX5" s="1"/>
  <c r="EW4"/>
  <c r="AAG138"/>
  <c r="G138" s="1"/>
  <c r="F137"/>
  <c r="EY6" l="1"/>
  <c r="EY5" s="1"/>
  <c r="EX4"/>
  <c r="AAH138"/>
  <c r="H138" s="1"/>
  <c r="E138" l="1"/>
  <c r="EZ6"/>
  <c r="EZ5" s="1"/>
  <c r="EY4"/>
  <c r="AAG139"/>
  <c r="G139" s="1"/>
  <c r="F138"/>
  <c r="FA6" l="1"/>
  <c r="FA5" s="1"/>
  <c r="EZ4"/>
  <c r="AAH139"/>
  <c r="H139" s="1"/>
  <c r="E139" l="1"/>
  <c r="FB6"/>
  <c r="FB5" s="1"/>
  <c r="FA4"/>
  <c r="AAG141"/>
  <c r="G141" s="1"/>
  <c r="F139"/>
  <c r="FC6" l="1"/>
  <c r="FC5" s="1"/>
  <c r="FB4"/>
  <c r="AAH141"/>
  <c r="H141" s="1"/>
  <c r="E141" l="1"/>
  <c r="FD6"/>
  <c r="FD5" s="1"/>
  <c r="FC4"/>
  <c r="AAG143"/>
  <c r="G143" s="1"/>
  <c r="F141"/>
  <c r="FE6" l="1"/>
  <c r="FE5" s="1"/>
  <c r="FD4"/>
  <c r="AAH143"/>
  <c r="H143" s="1"/>
  <c r="E143" l="1"/>
  <c r="FF6"/>
  <c r="FF5" s="1"/>
  <c r="FE4"/>
  <c r="AAG144"/>
  <c r="G144" s="1"/>
  <c r="F143"/>
  <c r="FG6" l="1"/>
  <c r="FG5" s="1"/>
  <c r="FF4"/>
  <c r="AAH144"/>
  <c r="H144" s="1"/>
  <c r="E144" l="1"/>
  <c r="FH6"/>
  <c r="FH5" s="1"/>
  <c r="FG4"/>
  <c r="AAG145"/>
  <c r="G145" s="1"/>
  <c r="F144"/>
  <c r="FI6" l="1"/>
  <c r="FI5" s="1"/>
  <c r="FH4"/>
  <c r="AAH145"/>
  <c r="H145" s="1"/>
  <c r="E145" l="1"/>
  <c r="FJ6"/>
  <c r="FJ5" s="1"/>
  <c r="FI4"/>
  <c r="AAG148"/>
  <c r="G148" s="1"/>
  <c r="F145"/>
  <c r="AAG146"/>
  <c r="G146" s="1"/>
  <c r="FK6" l="1"/>
  <c r="FK5" s="1"/>
  <c r="FJ4"/>
  <c r="AAH146"/>
  <c r="H146" s="1"/>
  <c r="AAH148"/>
  <c r="H148" s="1"/>
  <c r="E148" l="1"/>
  <c r="F146"/>
  <c r="FL6"/>
  <c r="FL5" s="1"/>
  <c r="FK4"/>
  <c r="E146"/>
  <c r="AAG150"/>
  <c r="G150" s="1"/>
  <c r="F148"/>
  <c r="FM6" l="1"/>
  <c r="FM5" s="1"/>
  <c r="FL4"/>
  <c r="AAH150"/>
  <c r="H150" s="1"/>
  <c r="E150" l="1"/>
  <c r="FN6"/>
  <c r="FN5" s="1"/>
  <c r="FM4"/>
  <c r="F150"/>
  <c r="AAG151"/>
  <c r="G151" s="1"/>
  <c r="FO6" l="1"/>
  <c r="FO5" s="1"/>
  <c r="FN4"/>
  <c r="AAH151"/>
  <c r="H151" s="1"/>
  <c r="E151" l="1"/>
  <c r="FP6"/>
  <c r="FP5" s="1"/>
  <c r="FO4"/>
  <c r="AAG152"/>
  <c r="G152" s="1"/>
  <c r="F151"/>
  <c r="FQ6" l="1"/>
  <c r="FQ5" s="1"/>
  <c r="FP4"/>
  <c r="AAH152"/>
  <c r="H152" s="1"/>
  <c r="E152" l="1"/>
  <c r="FR6"/>
  <c r="FR5" s="1"/>
  <c r="FQ4"/>
  <c r="AAG153"/>
  <c r="G153" s="1"/>
  <c r="F152"/>
  <c r="FS6" l="1"/>
  <c r="FS5" s="1"/>
  <c r="FR4"/>
  <c r="AAH153"/>
  <c r="H153" s="1"/>
  <c r="E153" l="1"/>
  <c r="FT6"/>
  <c r="FT5" s="1"/>
  <c r="FS4"/>
  <c r="AAG154"/>
  <c r="G154" s="1"/>
  <c r="F153"/>
  <c r="FU6" l="1"/>
  <c r="FU5" s="1"/>
  <c r="FT4"/>
  <c r="AAH154"/>
  <c r="H154" s="1"/>
  <c r="E154" l="1"/>
  <c r="FV6"/>
  <c r="FV5" s="1"/>
  <c r="FU4"/>
  <c r="AAG156"/>
  <c r="G156" s="1"/>
  <c r="F154"/>
  <c r="FW6" l="1"/>
  <c r="FW5" s="1"/>
  <c r="FV4"/>
  <c r="AAH156"/>
  <c r="H156" s="1"/>
  <c r="E156" l="1"/>
  <c r="FX6"/>
  <c r="FX5" s="1"/>
  <c r="FW4"/>
  <c r="AAG157"/>
  <c r="G157" s="1"/>
  <c r="F156"/>
  <c r="FY6" l="1"/>
  <c r="FY5" s="1"/>
  <c r="FX4"/>
  <c r="AAH157"/>
  <c r="H157" s="1"/>
  <c r="E157" l="1"/>
  <c r="FZ6"/>
  <c r="FZ5" s="1"/>
  <c r="FY4"/>
  <c r="AAG158"/>
  <c r="G158" s="1"/>
  <c r="F157"/>
  <c r="GA6" l="1"/>
  <c r="GA5" s="1"/>
  <c r="FZ4"/>
  <c r="AAH158"/>
  <c r="H158" s="1"/>
  <c r="E158" l="1"/>
  <c r="GB6"/>
  <c r="GB5" s="1"/>
  <c r="GA4"/>
  <c r="AAG159"/>
  <c r="G159" s="1"/>
  <c r="F158"/>
  <c r="GC6" l="1"/>
  <c r="GC5" s="1"/>
  <c r="GB4"/>
  <c r="AAH159"/>
  <c r="H159" s="1"/>
  <c r="E159" l="1"/>
  <c r="GD6"/>
  <c r="GD5" s="1"/>
  <c r="GC4"/>
  <c r="AAG161"/>
  <c r="G161" s="1"/>
  <c r="F159"/>
  <c r="GE6" l="1"/>
  <c r="GE5" s="1"/>
  <c r="GD4"/>
  <c r="AAH161"/>
  <c r="H161" s="1"/>
  <c r="E161" l="1"/>
  <c r="GF6"/>
  <c r="GF5" s="1"/>
  <c r="GE4"/>
  <c r="AAG163"/>
  <c r="G163" s="1"/>
  <c r="F161"/>
  <c r="GG6" l="1"/>
  <c r="GG5" s="1"/>
  <c r="GF4"/>
  <c r="AAH163"/>
  <c r="H163" s="1"/>
  <c r="E163" l="1"/>
  <c r="GH6"/>
  <c r="GH5" s="1"/>
  <c r="GG4"/>
  <c r="AAG164"/>
  <c r="G164" s="1"/>
  <c r="F163"/>
  <c r="GI6" l="1"/>
  <c r="GI5" s="1"/>
  <c r="GH4"/>
  <c r="AAH164"/>
  <c r="H164" s="1"/>
  <c r="E164" l="1"/>
  <c r="GJ6"/>
  <c r="GJ5" s="1"/>
  <c r="GI4"/>
  <c r="AAG165"/>
  <c r="G165" s="1"/>
  <c r="F164"/>
  <c r="GK6" l="1"/>
  <c r="GK5" s="1"/>
  <c r="GJ4"/>
  <c r="AAH165"/>
  <c r="H165" s="1"/>
  <c r="E165" l="1"/>
  <c r="GL6"/>
  <c r="GL5" s="1"/>
  <c r="GK4"/>
  <c r="AAG168"/>
  <c r="G168" s="1"/>
  <c r="AAG166"/>
  <c r="G166" s="1"/>
  <c r="F165"/>
  <c r="GM6" l="1"/>
  <c r="GM5" s="1"/>
  <c r="GL4"/>
  <c r="AAH168"/>
  <c r="H168" s="1"/>
  <c r="AAH166"/>
  <c r="H166" s="1"/>
  <c r="F166" l="1"/>
  <c r="E168"/>
  <c r="GN6"/>
  <c r="GN5" s="1"/>
  <c r="GM4"/>
  <c r="E166"/>
  <c r="AAG170"/>
  <c r="G170" s="1"/>
  <c r="F168"/>
  <c r="GO6" l="1"/>
  <c r="GO5" s="1"/>
  <c r="GN4"/>
  <c r="AAH170"/>
  <c r="H170" s="1"/>
  <c r="E170" l="1"/>
  <c r="GP6"/>
  <c r="GP5" s="1"/>
  <c r="GO4"/>
  <c r="F170"/>
  <c r="AAG171"/>
  <c r="G171" s="1"/>
  <c r="GQ6" l="1"/>
  <c r="GQ5" s="1"/>
  <c r="GP4"/>
  <c r="AAH171"/>
  <c r="H171" s="1"/>
  <c r="E171" l="1"/>
  <c r="GR6"/>
  <c r="GR5" s="1"/>
  <c r="GQ4"/>
  <c r="AAG172"/>
  <c r="G172" s="1"/>
  <c r="F171"/>
  <c r="GS6" l="1"/>
  <c r="GS5" s="1"/>
  <c r="GR4"/>
  <c r="AAH172"/>
  <c r="H172" s="1"/>
  <c r="E172" l="1"/>
  <c r="GT6"/>
  <c r="GT5" s="1"/>
  <c r="GS4"/>
  <c r="AAG173"/>
  <c r="G173" s="1"/>
  <c r="F172"/>
  <c r="GU6" l="1"/>
  <c r="GU5" s="1"/>
  <c r="GT4"/>
  <c r="AAH173"/>
  <c r="H173" s="1"/>
  <c r="E173" l="1"/>
  <c r="GV6"/>
  <c r="GV5" s="1"/>
  <c r="GU4"/>
  <c r="AAG174"/>
  <c r="G174" s="1"/>
  <c r="F173"/>
  <c r="GW6" l="1"/>
  <c r="GW5" s="1"/>
  <c r="GV4"/>
  <c r="AAH174"/>
  <c r="H174" s="1"/>
  <c r="E174" l="1"/>
  <c r="GX6"/>
  <c r="GX5" s="1"/>
  <c r="GW4"/>
  <c r="AAG176"/>
  <c r="G176" s="1"/>
  <c r="F174"/>
  <c r="GY6" l="1"/>
  <c r="GY5" s="1"/>
  <c r="GX4"/>
  <c r="AAH176"/>
  <c r="H176" s="1"/>
  <c r="E176" l="1"/>
  <c r="GZ6"/>
  <c r="GZ5" s="1"/>
  <c r="GY4"/>
  <c r="AAG177"/>
  <c r="G177" s="1"/>
  <c r="F176"/>
  <c r="HA6" l="1"/>
  <c r="HA5" s="1"/>
  <c r="GZ4"/>
  <c r="AAH177"/>
  <c r="H177" s="1"/>
  <c r="E177" l="1"/>
  <c r="HB6"/>
  <c r="HB5" s="1"/>
  <c r="HA4"/>
  <c r="AAG178"/>
  <c r="G178" s="1"/>
  <c r="F177"/>
  <c r="HC6" l="1"/>
  <c r="HC5" s="1"/>
  <c r="HB4"/>
  <c r="AAH178"/>
  <c r="H178" s="1"/>
  <c r="E178" l="1"/>
  <c r="HD6"/>
  <c r="HD5" s="1"/>
  <c r="HC4"/>
  <c r="AAG179"/>
  <c r="G179" s="1"/>
  <c r="F178"/>
  <c r="HE6" l="1"/>
  <c r="HE5" s="1"/>
  <c r="HD4"/>
  <c r="AAH179"/>
  <c r="H179" s="1"/>
  <c r="E179" l="1"/>
  <c r="HF6"/>
  <c r="HF5" s="1"/>
  <c r="HE4"/>
  <c r="AAG181"/>
  <c r="G181" s="1"/>
  <c r="F179"/>
  <c r="HG6" l="1"/>
  <c r="HG5" s="1"/>
  <c r="HF4"/>
  <c r="AAH181"/>
  <c r="H181" s="1"/>
  <c r="E181" l="1"/>
  <c r="HH6"/>
  <c r="HH5" s="1"/>
  <c r="HG4"/>
  <c r="AAG183"/>
  <c r="G183" s="1"/>
  <c r="F181"/>
  <c r="HI6" l="1"/>
  <c r="HI5" s="1"/>
  <c r="HH4"/>
  <c r="AAH183"/>
  <c r="H183" s="1"/>
  <c r="E183" l="1"/>
  <c r="HJ6"/>
  <c r="HJ5" s="1"/>
  <c r="HI4"/>
  <c r="AAG184"/>
  <c r="G184" s="1"/>
  <c r="F183"/>
  <c r="HK6" l="1"/>
  <c r="HK5" s="1"/>
  <c r="HJ4"/>
  <c r="AAH184"/>
  <c r="H184" s="1"/>
  <c r="E184" l="1"/>
  <c r="HL6"/>
  <c r="HL5" s="1"/>
  <c r="HK4"/>
  <c r="AAG185"/>
  <c r="G185" s="1"/>
  <c r="F184"/>
  <c r="HM6" l="1"/>
  <c r="HM5" s="1"/>
  <c r="HL4"/>
  <c r="AAH185"/>
  <c r="H185" s="1"/>
  <c r="E185" l="1"/>
  <c r="HN6"/>
  <c r="HN5" s="1"/>
  <c r="HM4"/>
  <c r="AAG188"/>
  <c r="G188" s="1"/>
  <c r="F185"/>
  <c r="AAG186"/>
  <c r="G186" s="1"/>
  <c r="HO6" l="1"/>
  <c r="HO5" s="1"/>
  <c r="HN4"/>
  <c r="AAH186"/>
  <c r="H186" s="1"/>
  <c r="AAH188"/>
  <c r="H188" s="1"/>
  <c r="E188" l="1"/>
  <c r="F186"/>
  <c r="HP6"/>
  <c r="HP5" s="1"/>
  <c r="HO4"/>
  <c r="E186"/>
  <c r="AAG190"/>
  <c r="G190" s="1"/>
  <c r="F188"/>
  <c r="HQ6" l="1"/>
  <c r="HQ5" s="1"/>
  <c r="HP4"/>
  <c r="AAH190"/>
  <c r="H190" s="1"/>
  <c r="E190" l="1"/>
  <c r="HR6"/>
  <c r="HR5" s="1"/>
  <c r="HQ4"/>
  <c r="F190"/>
  <c r="AAG191"/>
  <c r="G191" s="1"/>
  <c r="HS6" l="1"/>
  <c r="HS5" s="1"/>
  <c r="HR4"/>
  <c r="AAH191"/>
  <c r="H191" s="1"/>
  <c r="E191" l="1"/>
  <c r="HT6"/>
  <c r="HT5" s="1"/>
  <c r="HS4"/>
  <c r="AAG192"/>
  <c r="G192" s="1"/>
  <c r="F191"/>
  <c r="HU6" l="1"/>
  <c r="HU5" s="1"/>
  <c r="HT4"/>
  <c r="AAH192"/>
  <c r="H192" s="1"/>
  <c r="E192" l="1"/>
  <c r="HV6"/>
  <c r="HV5" s="1"/>
  <c r="HU4"/>
  <c r="AAG193"/>
  <c r="G193" s="1"/>
  <c r="F192"/>
  <c r="HW6" l="1"/>
  <c r="HW5" s="1"/>
  <c r="HV4"/>
  <c r="AAH193"/>
  <c r="H193" s="1"/>
  <c r="E193" l="1"/>
  <c r="HX6"/>
  <c r="HX5" s="1"/>
  <c r="HW4"/>
  <c r="AAG194"/>
  <c r="G194" s="1"/>
  <c r="F193"/>
  <c r="HY6" l="1"/>
  <c r="HY5" s="1"/>
  <c r="HX4"/>
  <c r="AAH194"/>
  <c r="H194" s="1"/>
  <c r="E194" l="1"/>
  <c r="HZ6"/>
  <c r="HZ5" s="1"/>
  <c r="HY4"/>
  <c r="AAG196"/>
  <c r="G196" s="1"/>
  <c r="F194"/>
  <c r="IA6" l="1"/>
  <c r="IA5" s="1"/>
  <c r="HZ4"/>
  <c r="AAH196"/>
  <c r="H196" s="1"/>
  <c r="E196" l="1"/>
  <c r="IB6"/>
  <c r="IB5" s="1"/>
  <c r="IA4"/>
  <c r="AAG197"/>
  <c r="G197" s="1"/>
  <c r="F196"/>
  <c r="IC6" l="1"/>
  <c r="IC5" s="1"/>
  <c r="IB4"/>
  <c r="AAH197"/>
  <c r="H197" s="1"/>
  <c r="E197" l="1"/>
  <c r="ID6"/>
  <c r="ID5" s="1"/>
  <c r="IC4"/>
  <c r="AAG198"/>
  <c r="G198" s="1"/>
  <c r="F197"/>
  <c r="IE6" l="1"/>
  <c r="IE5" s="1"/>
  <c r="ID4"/>
  <c r="AAH198"/>
  <c r="H198" s="1"/>
  <c r="E198" l="1"/>
  <c r="IF6"/>
  <c r="IF5" s="1"/>
  <c r="IE4"/>
  <c r="AAG199"/>
  <c r="G199" s="1"/>
  <c r="F198"/>
  <c r="IG6" l="1"/>
  <c r="IG5" s="1"/>
  <c r="IF4"/>
  <c r="AAH199"/>
  <c r="H199" s="1"/>
  <c r="E199" l="1"/>
  <c r="IH6"/>
  <c r="IH5" s="1"/>
  <c r="IG4"/>
  <c r="AAG201"/>
  <c r="G201" s="1"/>
  <c r="F199"/>
  <c r="II6" l="1"/>
  <c r="II5" s="1"/>
  <c r="IH4"/>
  <c r="AAH201"/>
  <c r="H201" s="1"/>
  <c r="E201" l="1"/>
  <c r="IJ6"/>
  <c r="IJ5" s="1"/>
  <c r="II4"/>
  <c r="AAG203"/>
  <c r="G203" s="1"/>
  <c r="F201"/>
  <c r="IK6" l="1"/>
  <c r="IK5" s="1"/>
  <c r="IJ4"/>
  <c r="AAH203"/>
  <c r="H203" s="1"/>
  <c r="E203" l="1"/>
  <c r="IL6"/>
  <c r="IL5" s="1"/>
  <c r="IK4"/>
  <c r="AAG204"/>
  <c r="G204" s="1"/>
  <c r="F203"/>
  <c r="IM6" l="1"/>
  <c r="IM5" s="1"/>
  <c r="IL4"/>
  <c r="AAH204"/>
  <c r="H204" s="1"/>
  <c r="E204" l="1"/>
  <c r="IN6"/>
  <c r="IN5" s="1"/>
  <c r="IM4"/>
  <c r="AAG205"/>
  <c r="G205" s="1"/>
  <c r="F204"/>
  <c r="IO6" l="1"/>
  <c r="IO5" s="1"/>
  <c r="IN4"/>
  <c r="AAH205"/>
  <c r="H205" s="1"/>
  <c r="E205" l="1"/>
  <c r="IP6"/>
  <c r="IP5" s="1"/>
  <c r="IO4"/>
  <c r="AAG206"/>
  <c r="G206" s="1"/>
  <c r="F205"/>
  <c r="IQ6" l="1"/>
  <c r="IQ5" s="1"/>
  <c r="IP4"/>
  <c r="AAH206"/>
  <c r="H206" s="1"/>
  <c r="H6"/>
  <c r="F206" l="1"/>
  <c r="IR6"/>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l="1"/>
  <c r="AAG213"/>
  <c r="G213" s="1"/>
  <c r="AAG464"/>
  <c r="G464" s="1"/>
  <c r="AAG214"/>
  <c r="G214" s="1"/>
  <c r="AAG448"/>
  <c r="G448" s="1"/>
  <c r="AAG219"/>
  <c r="G219" s="1"/>
  <c r="E219" l="1"/>
  <c r="E214"/>
  <c r="E448"/>
  <c r="E464"/>
  <c r="AAH213"/>
  <c r="H213" s="1"/>
  <c r="H306"/>
  <c r="AAH301"/>
  <c r="H301" s="1"/>
  <c r="AAH304"/>
  <c r="H304" s="1"/>
  <c r="F306" l="1"/>
  <c r="F213"/>
  <c r="E213"/>
  <c r="F301"/>
  <c r="E301"/>
  <c r="F304"/>
  <c r="AAG306"/>
  <c r="G306" s="1"/>
  <c r="AAG304"/>
  <c r="G304" s="1"/>
  <c r="AAG305"/>
  <c r="G305" s="1"/>
  <c r="E305" l="1"/>
  <c r="E306"/>
  <c r="E304"/>
</calcChain>
</file>

<file path=xl/sharedStrings.xml><?xml version="1.0" encoding="utf-8"?>
<sst xmlns="http://schemas.openxmlformats.org/spreadsheetml/2006/main" count="1345" uniqueCount="396">
  <si>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</si>
  <si>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</si>
  <si>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</si>
  <si>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</si>
  <si>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</si>
  <si>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</si>
  <si>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</si>
  <si>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</si>
  <si>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</si>
  <si>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</si>
  <si>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</si>
  <si>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</si>
  <si>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</si>
  <si>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</si>
  <si>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</si>
  <si>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</si>
  <si>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</si>
  <si>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</si>
  <si>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</si>
  <si>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</si>
  <si>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</si>
  <si>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</si>
  <si>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</si>
  <si>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</si>
  <si>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</si>
  <si>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</si>
  <si>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</si>
  <si>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</si>
  <si>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</si>
  <si>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</si>
  <si>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</si>
  <si>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</si>
  <si>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</si>
  <si>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</si>
  <si>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</si>
  <si>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</si>
  <si>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</si>
  <si>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</si>
  <si>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</si>
  <si>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</si>
  <si>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</si>
  <si>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</si>
  <si>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</si>
  <si>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</si>
  <si>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</si>
  <si>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</si>
  <si>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</si>
  <si>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</si>
  <si>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</si>
  <si>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</si>
  <si>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</si>
  <si>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</si>
  <si>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</si>
  <si>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</si>
  <si>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</si>
  <si>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</si>
  <si>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</si>
  <si>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</si>
  <si>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</si>
  <si>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</si>
  <si>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</si>
  <si>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</si>
  <si>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</si>
  <si>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</si>
  <si>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</si>
  <si>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</si>
  <si>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</si>
  <si>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</si>
  <si>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</si>
  <si>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</si>
  <si>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</si>
  <si>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</si>
  <si>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</si>
  <si>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</si>
  <si>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</si>
  <si>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</si>
  <si>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</si>
  <si>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</si>
  <si>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</si>
  <si>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</si>
  <si>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</si>
  <si>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</si>
  <si>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</si>
  <si>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</si>
  <si>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</si>
  <si>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</si>
  <si>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</si>
  <si>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</si>
  <si>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</si>
  <si>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</si>
  <si>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</si>
  <si>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</si>
  <si>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</si>
  <si>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</si>
  <si>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</si>
  <si>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</si>
  <si>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</si>
  <si>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</si>
  <si>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</si>
  <si>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</si>
  <si>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</si>
  <si>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</si>
  <si>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</si>
  <si>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</si>
  <si>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</si>
  <si>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</si>
  <si>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</si>
  <si>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</si>
  <si>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</si>
  <si>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</si>
  <si>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</si>
  <si>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</si>
  <si>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</si>
  <si>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</si>
  <si>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</si>
  <si>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</si>
  <si>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</si>
  <si>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</si>
  <si>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</si>
  <si>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</si>
  <si>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</si>
  <si>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</si>
  <si>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</si>
  <si>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</si>
  <si>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</si>
  <si>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</si>
  <si>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</si>
  <si>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</si>
  <si>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</si>
  <si>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</si>
  <si>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</si>
  <si>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</si>
  <si>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</si>
  <si>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</si>
  <si>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</si>
  <si>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</si>
  <si>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</si>
  <si>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</si>
  <si>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</si>
  <si>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</si>
  <si>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</si>
  <si>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</si>
  <si>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</si>
  <si>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</si>
  <si>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</si>
  <si>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</si>
  <si>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</si>
  <si>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</si>
  <si>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</si>
  <si>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</si>
  <si>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</si>
  <si>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</si>
  <si>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</si>
  <si>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</si>
  <si>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</si>
  <si>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</si>
  <si>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</si>
  <si>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</si>
  <si>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</si>
  <si>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</si>
  <si>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</si>
  <si>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</si>
  <si>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</si>
  <si>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</si>
  <si>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</si>
  <si>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</si>
  <si>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</si>
  <si>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</si>
  <si>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</si>
  <si>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</si>
  <si>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</si>
  <si>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</si>
  <si>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</si>
  <si>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</si>
  <si>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</si>
  <si>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</si>
  <si>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</si>
  <si>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</si>
  <si>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</si>
  <si>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</si>
  <si>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</si>
  <si>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</si>
  <si>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</si>
  <si>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</si>
  <si>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</si>
  <si>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</si>
  <si>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</si>
  <si>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</si>
  <si>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</si>
  <si>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</si>
  <si>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</si>
  <si>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</si>
  <si>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</si>
  <si>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</si>
  <si>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</si>
  <si>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</si>
  <si>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</si>
  <si>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</si>
  <si>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</si>
  <si>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</si>
  <si>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</si>
  <si>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</si>
  <si>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</si>
  <si>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</si>
  <si>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</si>
  <si>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</si>
  <si>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</si>
  <si>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</si>
  <si>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</si>
  <si>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</si>
  <si>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</si>
  <si>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</si>
  <si>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</si>
  <si>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</si>
  <si>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</si>
  <si>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</si>
  <si>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</si>
  <si>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</si>
  <si>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</si>
  <si>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</si>
  <si>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</si>
  <si>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</si>
  <si>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</si>
  <si>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</si>
  <si>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</si>
  <si>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</si>
  <si>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</si>
  <si>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</si>
  <si>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</si>
  <si>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</si>
  <si>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</si>
  <si>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</si>
  <si>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</si>
  <si>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</si>
  <si>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</si>
  <si>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</si>
  <si>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</si>
  <si>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</si>
  <si>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</si>
  <si>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</si>
  <si>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</si>
  <si>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</si>
  <si>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</si>
  <si>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</si>
  <si>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</si>
  <si>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</si>
  <si>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</si>
  <si>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</si>
  <si>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</si>
  <si>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</si>
  <si>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</si>
  <si>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</si>
  <si>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</si>
  <si>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</si>
  <si>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</si>
  <si>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</si>
  <si>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</si>
  <si>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</si>
  <si>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</si>
  <si>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</si>
  <si>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</si>
  <si>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</si>
  <si>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</si>
  <si>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</si>
  <si>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</si>
  <si>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</si>
  <si>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</si>
  <si>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</si>
  <si>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</si>
  <si>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</si>
  <si>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</si>
  <si>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</si>
  <si>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</si>
  <si>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</si>
  <si>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</si>
  <si>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</si>
  <si>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</si>
  <si>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</si>
  <si>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</si>
  <si>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</si>
  <si>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</si>
  <si>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</si>
  <si>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</si>
  <si>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</si>
  <si>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</si>
  <si>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</si>
  <si>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</si>
  <si>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</si>
  <si>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</si>
  <si>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</si>
  <si>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</si>
  <si>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</si>
  <si>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</si>
  <si>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</si>
  <si>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</si>
  <si>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</si>
  <si>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</si>
  <si>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</si>
  <si>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</si>
  <si>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</si>
  <si>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</si>
  <si>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</si>
  <si>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</si>
  <si>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</si>
  <si>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</si>
  <si>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</si>
  <si>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</si>
  <si>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</si>
  <si>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</si>
  <si>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</si>
  <si>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</si>
  <si>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</si>
  <si>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</si>
  <si>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</si>
  <si>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</si>
  <si>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</si>
  <si>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</si>
  <si>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</si>
  <si>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</si>
  <si>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</si>
  <si>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</si>
  <si>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</si>
  <si>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</si>
  <si>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</si>
  <si>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</si>
  <si>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</si>
  <si>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</si>
  <si>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</si>
  <si>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</si>
  <si>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</si>
  <si>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</si>
  <si>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</si>
  <si>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</si>
  <si>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</si>
  <si>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</si>
  <si>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</si>
  <si>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</si>
  <si>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</si>
  <si>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</si>
  <si>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</si>
  <si>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</si>
  <si>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</si>
  <si>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</si>
  <si>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</si>
  <si>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</si>
  <si>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</si>
  <si>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</si>
  <si>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</si>
  <si>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</si>
  <si>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</si>
  <si>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</si>
  <si>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</si>
  <si>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</si>
  <si>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</si>
  <si>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</si>
  <si>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</si>
  <si>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</si>
  <si>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</si>
  <si>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</si>
  <si>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</si>
  <si>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</si>
  <si>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</si>
  <si>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</si>
  <si>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</si>
  <si>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</si>
  <si>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</si>
  <si>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</si>
  <si>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</si>
  <si>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</si>
  <si>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</si>
  <si>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</si>
  <si>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</si>
  <si>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</si>
  <si>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</si>
  <si>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</si>
  <si>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</si>
  <si>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</si>
  <si>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</si>
  <si>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</si>
  <si>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</si>
  <si>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</si>
  <si>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</si>
  <si>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</si>
  <si>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</si>
  <si>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</si>
  <si>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</si>
  <si>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</si>
  <si>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</si>
  <si>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</si>
  <si>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</si>
  <si>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</si>
  <si>
    <t>Portland</t>
  </si>
  <si>
    <t>Infrastructure SIP</t>
  </si>
  <si>
    <t>6  p.m.</t>
  </si>
  <si>
    <t>AC, webrep</t>
  </si>
  <si>
    <t>CA, AC</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</si>
</sst>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5">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166" fontId="53" fillId="0" borderId="13" xfId="0" applyNumberFormat="1" applyFont="1" applyFill="1" applyBorder="1" applyAlignment="1" applyProtection="1">
      <alignment horizontal="right" vertical="center" wrapText="1"/>
    </xf>
    <xf numFmtId="164" fontId="0" fillId="2" borderId="0" xfId="0" applyFill="1" applyBorder="1" applyAlignment="1">
      <alignment horizontal="left" wrapText="1"/>
    </xf>
    <xf numFmtId="0" fontId="15" fillId="9" borderId="0" xfId="0" applyNumberFormat="1" applyFont="1" applyFill="1" applyAlignment="1">
      <alignment horizontal="left" vertical="top" wrapText="1"/>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54" fillId="2" borderId="0" xfId="0" applyNumberFormat="1" applyFont="1" applyFill="1" applyBorder="1" applyAlignment="1" applyProtection="1">
      <alignment horizontal="left" vertical="center" wrapText="1" indent="4"/>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2" fillId="7" borderId="0" xfId="0" applyNumberFormat="1" applyFont="1" applyFill="1" applyBorder="1" applyAlignment="1" applyProtection="1">
      <alignment horizontal="left"/>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48">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47"/>
    </tableStyle>
    <tableStyle name="Table Style 2" pivot="0" count="1">
      <tableStyleElement type="wholeTable" dxfId="46"/>
    </tableStyle>
    <tableStyle name="TableStyleMedium9 2" pivot="0" count="7">
      <tableStyleElement type="wholeTable" dxfId="45"/>
      <tableStyleElement type="headerRow" dxfId="44"/>
      <tableStyleElement type="totalRow" dxfId="43"/>
      <tableStyleElement type="firstColumn" dxfId="42"/>
      <tableStyleElement type="lastColumn" dxfId="41"/>
      <tableStyleElement type="firstRowStripe" dxfId="40"/>
      <tableStyleElement type="firstColumnStripe" dxfId="39"/>
    </tableStyle>
    <tableStyle name="TableStyleMedium9 3" pivot="0" count="7">
      <tableStyleElement type="wholeTable" dxfId="38"/>
      <tableStyleElement type="headerRow" dxfId="37"/>
      <tableStyleElement type="totalRow" dxfId="36"/>
      <tableStyleElement type="firstColumn" dxfId="35"/>
      <tableStyleElement type="lastColumn" dxfId="34"/>
      <tableStyleElement type="firstRowStripe" dxfId="33"/>
      <tableStyleElement type="firstColumnStripe" dxfId="32"/>
    </tableStyle>
    <tableStyle name="TimeTable" pivot="0" count="1">
      <tableStyleElement type="wholeTable" dxfId="31"/>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 Id="rId8" Type="http://schemas.openxmlformats.org/officeDocument/2006/relationships/hyperlink" Target="http://www.deq.state.or.us/regulations/rulemaking.htm" TargetMode="External"/><Relationship Id="rId3" Type="http://schemas.openxmlformats.org/officeDocument/2006/relationships/hyperlink" Target="file://deq000/templates/General/Minutes%20Template.dot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268</v>
      </c>
      <c r="E3" s="342" t="s">
        <v>233</v>
      </c>
      <c r="F3" s="342" t="s">
        <v>275</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5" t="s">
        <v>137</v>
      </c>
      <c r="K22" s="735"/>
      <c r="L22" s="735"/>
      <c r="M22" s="735"/>
      <c r="N22" s="735"/>
      <c r="O22" s="735"/>
      <c r="P22" s="735"/>
      <c r="Q22" s="70"/>
      <c r="R22" s="2"/>
      <c r="S22" s="2"/>
      <c r="T22" s="2"/>
    </row>
    <row r="23" spans="1:20">
      <c r="A23" s="22">
        <v>41275</v>
      </c>
      <c r="B23" s="20" t="s">
        <v>7</v>
      </c>
      <c r="C23" s="33">
        <f>A23</f>
        <v>41275</v>
      </c>
      <c r="D23" s="33"/>
      <c r="E23" s="72"/>
      <c r="F23" s="72"/>
      <c r="G23" s="72"/>
      <c r="H23" s="72"/>
      <c r="I23" s="2"/>
      <c r="J23" s="735"/>
      <c r="K23" s="735"/>
      <c r="L23" s="735"/>
      <c r="M23" s="735"/>
      <c r="N23" s="735"/>
      <c r="O23" s="735"/>
      <c r="P23" s="735"/>
      <c r="Q23" s="70"/>
      <c r="R23" s="2"/>
      <c r="S23" s="2"/>
      <c r="T23" s="2"/>
    </row>
    <row r="24" spans="1:20">
      <c r="A24" s="22">
        <v>41292</v>
      </c>
      <c r="B24" s="20" t="s">
        <v>5</v>
      </c>
      <c r="C24" s="33">
        <f t="shared" ref="C24:C71" si="5">A24</f>
        <v>41292</v>
      </c>
      <c r="D24" s="33"/>
      <c r="E24" s="72"/>
      <c r="F24" s="72"/>
      <c r="G24" s="72"/>
      <c r="H24" s="72"/>
      <c r="I24" s="2"/>
      <c r="J24" s="735"/>
      <c r="K24" s="735"/>
      <c r="L24" s="735"/>
      <c r="M24" s="735"/>
      <c r="N24" s="735"/>
      <c r="O24" s="735"/>
      <c r="P24" s="735"/>
      <c r="Q24" s="70"/>
      <c r="R24" s="2"/>
      <c r="S24" s="2"/>
      <c r="T24" s="2"/>
    </row>
    <row r="25" spans="1:20">
      <c r="A25" s="22">
        <v>41295</v>
      </c>
      <c r="B25" s="20" t="s">
        <v>8</v>
      </c>
      <c r="C25" s="33">
        <f t="shared" si="5"/>
        <v>41295</v>
      </c>
      <c r="D25" s="33"/>
      <c r="E25" s="72"/>
      <c r="F25" s="72"/>
      <c r="G25" s="72"/>
      <c r="H25" s="72"/>
      <c r="I25" s="2"/>
      <c r="J25" s="735"/>
      <c r="K25" s="735"/>
      <c r="L25" s="735"/>
      <c r="M25" s="735"/>
      <c r="N25" s="735"/>
      <c r="O25" s="735"/>
      <c r="P25" s="735"/>
      <c r="Q25" s="70"/>
      <c r="R25" s="2"/>
      <c r="S25" s="2"/>
      <c r="T25" s="2"/>
    </row>
    <row r="26" spans="1:20">
      <c r="A26" s="22">
        <v>41323</v>
      </c>
      <c r="B26" s="20" t="s">
        <v>9</v>
      </c>
      <c r="C26" s="33">
        <f t="shared" si="5"/>
        <v>41323</v>
      </c>
      <c r="D26" s="33"/>
      <c r="E26" s="72"/>
      <c r="F26" s="72"/>
      <c r="G26" s="72"/>
      <c r="H26" s="72"/>
      <c r="I26" s="2"/>
      <c r="J26" s="735"/>
      <c r="K26" s="735"/>
      <c r="L26" s="735"/>
      <c r="M26" s="735"/>
      <c r="N26" s="735"/>
      <c r="O26" s="735"/>
      <c r="P26" s="735"/>
      <c r="Q26" s="70"/>
      <c r="R26" s="2"/>
      <c r="S26" s="2"/>
      <c r="T26" s="2"/>
    </row>
    <row r="27" spans="1:20">
      <c r="A27" s="22">
        <v>41383</v>
      </c>
      <c r="B27" s="20" t="s">
        <v>5</v>
      </c>
      <c r="C27" s="33">
        <f t="shared" si="5"/>
        <v>41383</v>
      </c>
      <c r="D27" s="33"/>
      <c r="E27" s="72"/>
      <c r="F27" s="72"/>
      <c r="G27" s="72"/>
      <c r="H27" s="72"/>
      <c r="I27" s="2"/>
      <c r="J27" s="735"/>
      <c r="K27" s="735"/>
      <c r="L27" s="735"/>
      <c r="M27" s="735"/>
      <c r="N27" s="735"/>
      <c r="O27" s="735"/>
      <c r="P27" s="735"/>
      <c r="Q27" s="70"/>
      <c r="R27" s="2"/>
      <c r="S27" s="2"/>
      <c r="T27" s="2"/>
    </row>
    <row r="28" spans="1:20">
      <c r="A28" s="22">
        <v>41418</v>
      </c>
      <c r="B28" s="20" t="s">
        <v>5</v>
      </c>
      <c r="C28" s="33">
        <f t="shared" si="5"/>
        <v>41418</v>
      </c>
      <c r="D28" s="33"/>
      <c r="E28" s="72"/>
      <c r="F28" s="72"/>
      <c r="G28" s="72"/>
      <c r="H28" s="72"/>
      <c r="I28" s="2"/>
      <c r="J28" s="735"/>
      <c r="K28" s="735"/>
      <c r="L28" s="735"/>
      <c r="M28" s="735"/>
      <c r="N28" s="735"/>
      <c r="O28" s="735"/>
      <c r="P28" s="735"/>
      <c r="Q28" s="70"/>
      <c r="R28" s="2"/>
      <c r="S28" s="2"/>
      <c r="T28" s="2"/>
    </row>
    <row r="29" spans="1:20">
      <c r="A29" s="22">
        <v>41421</v>
      </c>
      <c r="B29" s="20" t="s">
        <v>10</v>
      </c>
      <c r="C29" s="33">
        <f t="shared" si="5"/>
        <v>41421</v>
      </c>
      <c r="D29" s="33"/>
      <c r="E29" s="72"/>
      <c r="F29" s="72"/>
      <c r="G29" s="72"/>
      <c r="H29" s="72"/>
      <c r="I29" s="2"/>
      <c r="J29" s="735"/>
      <c r="K29" s="735"/>
      <c r="L29" s="735"/>
      <c r="M29" s="735"/>
      <c r="N29" s="735"/>
      <c r="O29" s="735"/>
      <c r="P29" s="735"/>
      <c r="Q29" s="70"/>
      <c r="R29" s="2"/>
      <c r="S29" s="2"/>
      <c r="T29" s="2"/>
    </row>
    <row r="30" spans="1:20">
      <c r="A30" s="22">
        <v>41459</v>
      </c>
      <c r="B30" s="20" t="s">
        <v>11</v>
      </c>
      <c r="C30" s="33">
        <f t="shared" si="5"/>
        <v>41459</v>
      </c>
      <c r="D30" s="33"/>
      <c r="E30" s="72"/>
      <c r="F30" s="72"/>
      <c r="G30" s="72"/>
      <c r="H30" s="72"/>
      <c r="I30" s="2"/>
      <c r="J30" s="735"/>
      <c r="K30" s="735"/>
      <c r="L30" s="735"/>
      <c r="M30" s="735"/>
      <c r="N30" s="735"/>
      <c r="O30" s="735"/>
      <c r="P30" s="735"/>
      <c r="Q30" s="70"/>
      <c r="R30" s="2"/>
      <c r="S30" s="2"/>
      <c r="T30" s="2"/>
    </row>
    <row r="31" spans="1:20">
      <c r="A31" s="22">
        <v>41519</v>
      </c>
      <c r="B31" s="20" t="s">
        <v>12</v>
      </c>
      <c r="C31" s="33">
        <f t="shared" si="5"/>
        <v>41519</v>
      </c>
      <c r="D31" s="33"/>
      <c r="E31" s="72"/>
      <c r="F31" s="72"/>
      <c r="G31" s="72"/>
      <c r="H31" s="72"/>
      <c r="I31" s="2"/>
      <c r="J31" s="735"/>
      <c r="K31" s="735"/>
      <c r="L31" s="735"/>
      <c r="M31" s="735"/>
      <c r="N31" s="735"/>
      <c r="O31" s="735"/>
      <c r="P31" s="735"/>
      <c r="Q31" s="70"/>
      <c r="R31" s="2"/>
      <c r="S31" s="2"/>
      <c r="T31" s="2"/>
    </row>
    <row r="32" spans="1:20">
      <c r="A32" s="22">
        <v>41589</v>
      </c>
      <c r="B32" s="20" t="s">
        <v>3</v>
      </c>
      <c r="C32" s="33">
        <f t="shared" si="5"/>
        <v>41589</v>
      </c>
      <c r="D32" s="33"/>
      <c r="E32" s="72"/>
      <c r="F32" s="72"/>
      <c r="G32" s="72"/>
      <c r="H32" s="72"/>
      <c r="I32" s="2"/>
      <c r="J32" s="735"/>
      <c r="K32" s="735"/>
      <c r="L32" s="735"/>
      <c r="M32" s="735"/>
      <c r="N32" s="735"/>
      <c r="O32" s="735"/>
      <c r="P32" s="735"/>
      <c r="Q32" s="70"/>
      <c r="R32" s="2"/>
      <c r="S32" s="2"/>
      <c r="T32" s="2"/>
    </row>
    <row r="33" spans="1:20">
      <c r="A33" s="22">
        <v>41606</v>
      </c>
      <c r="B33" s="20" t="s">
        <v>4</v>
      </c>
      <c r="C33" s="33">
        <f t="shared" si="5"/>
        <v>41606</v>
      </c>
      <c r="D33" s="33"/>
      <c r="E33" s="72"/>
      <c r="F33" s="72"/>
      <c r="G33" s="72"/>
      <c r="H33" s="72"/>
      <c r="I33" s="2"/>
      <c r="J33" s="735"/>
      <c r="K33" s="735"/>
      <c r="L33" s="735"/>
      <c r="M33" s="735"/>
      <c r="N33" s="735"/>
      <c r="O33" s="735"/>
      <c r="P33" s="735"/>
      <c r="Q33" s="70"/>
      <c r="R33" s="2"/>
      <c r="S33" s="2"/>
      <c r="T33" s="2"/>
    </row>
    <row r="34" spans="1:20">
      <c r="A34" s="22">
        <v>41633</v>
      </c>
      <c r="B34" s="20" t="s">
        <v>6</v>
      </c>
      <c r="C34" s="33">
        <f t="shared" si="5"/>
        <v>41633</v>
      </c>
      <c r="D34" s="33"/>
      <c r="E34" s="72"/>
      <c r="F34" s="72"/>
      <c r="G34" s="72"/>
      <c r="H34" s="72"/>
      <c r="I34" s="2"/>
      <c r="J34" s="735"/>
      <c r="K34" s="735"/>
      <c r="L34" s="735"/>
      <c r="M34" s="735"/>
      <c r="N34" s="735"/>
      <c r="O34" s="735"/>
      <c r="P34" s="735"/>
      <c r="Q34" s="70"/>
      <c r="R34" s="2"/>
      <c r="S34" s="2"/>
      <c r="T34" s="2"/>
    </row>
    <row r="35" spans="1:20">
      <c r="A35" s="22">
        <v>41640</v>
      </c>
      <c r="B35" s="20" t="s">
        <v>7</v>
      </c>
      <c r="C35" s="33">
        <f t="shared" si="5"/>
        <v>41640</v>
      </c>
      <c r="D35" s="33"/>
      <c r="E35" s="72"/>
      <c r="F35" s="72"/>
      <c r="G35" s="72"/>
      <c r="H35" s="72"/>
      <c r="I35" s="2"/>
      <c r="J35" s="735"/>
      <c r="K35" s="735"/>
      <c r="L35" s="735"/>
      <c r="M35" s="735"/>
      <c r="N35" s="735"/>
      <c r="O35" s="735"/>
      <c r="P35" s="735"/>
      <c r="Q35" s="70"/>
      <c r="R35" s="2"/>
      <c r="S35" s="2"/>
      <c r="T35" s="2"/>
    </row>
    <row r="36" spans="1:20">
      <c r="A36" s="22">
        <v>41659</v>
      </c>
      <c r="B36" s="20" t="s">
        <v>8</v>
      </c>
      <c r="C36" s="33">
        <f t="shared" si="5"/>
        <v>41659</v>
      </c>
      <c r="D36" s="33"/>
      <c r="E36" s="72"/>
      <c r="F36" s="72"/>
      <c r="G36" s="72"/>
      <c r="H36" s="72"/>
      <c r="I36" s="2"/>
      <c r="J36" s="735"/>
      <c r="K36" s="735"/>
      <c r="L36" s="735"/>
      <c r="M36" s="735"/>
      <c r="N36" s="735"/>
      <c r="O36" s="735"/>
      <c r="P36" s="735"/>
      <c r="Q36" s="70"/>
      <c r="R36" s="2"/>
      <c r="S36" s="2"/>
      <c r="T36" s="2"/>
    </row>
    <row r="37" spans="1:20">
      <c r="A37" s="22">
        <v>41687</v>
      </c>
      <c r="B37" s="20" t="s">
        <v>9</v>
      </c>
      <c r="C37" s="33">
        <f t="shared" si="5"/>
        <v>41687</v>
      </c>
      <c r="D37" s="33"/>
      <c r="E37" s="72"/>
      <c r="F37" s="72"/>
      <c r="G37" s="72"/>
      <c r="H37" s="72"/>
      <c r="I37" s="2"/>
      <c r="J37" s="735"/>
      <c r="K37" s="735"/>
      <c r="L37" s="735"/>
      <c r="M37" s="735"/>
      <c r="N37" s="735"/>
      <c r="O37" s="735"/>
      <c r="P37" s="735"/>
      <c r="Q37" s="70"/>
      <c r="R37" s="2"/>
      <c r="S37" s="2"/>
      <c r="T37" s="2"/>
    </row>
    <row r="38" spans="1:20">
      <c r="A38" s="22">
        <v>41785</v>
      </c>
      <c r="B38" s="20" t="s">
        <v>10</v>
      </c>
      <c r="C38" s="33">
        <f t="shared" si="5"/>
        <v>41785</v>
      </c>
      <c r="D38" s="33"/>
      <c r="E38" s="72"/>
      <c r="F38" s="72"/>
      <c r="G38" s="72"/>
      <c r="H38" s="72"/>
      <c r="I38" s="2"/>
      <c r="J38" s="735"/>
      <c r="K38" s="735"/>
      <c r="L38" s="735"/>
      <c r="M38" s="735"/>
      <c r="N38" s="735"/>
      <c r="O38" s="735"/>
      <c r="P38" s="735"/>
      <c r="Q38" s="70"/>
      <c r="R38" s="2"/>
      <c r="S38" s="2"/>
      <c r="T38" s="2"/>
    </row>
    <row r="39" spans="1:20">
      <c r="A39" s="22">
        <v>41824</v>
      </c>
      <c r="B39" s="20" t="s">
        <v>11</v>
      </c>
      <c r="C39" s="33">
        <f t="shared" si="5"/>
        <v>41824</v>
      </c>
      <c r="D39" s="33"/>
      <c r="E39" s="72"/>
      <c r="F39" s="72"/>
      <c r="G39" s="72"/>
      <c r="H39" s="72"/>
      <c r="I39" s="2"/>
      <c r="J39" s="735"/>
      <c r="K39" s="735"/>
      <c r="L39" s="735"/>
      <c r="M39" s="735"/>
      <c r="N39" s="735"/>
      <c r="O39" s="735"/>
      <c r="P39" s="735"/>
      <c r="Q39" s="70"/>
      <c r="R39" s="2"/>
      <c r="S39" s="2"/>
      <c r="T39" s="2"/>
    </row>
    <row r="40" spans="1:20">
      <c r="A40" s="22">
        <v>41884</v>
      </c>
      <c r="B40" s="20" t="s">
        <v>12</v>
      </c>
      <c r="C40" s="33">
        <f t="shared" si="5"/>
        <v>41884</v>
      </c>
      <c r="D40" s="33"/>
      <c r="E40" s="72"/>
      <c r="F40" s="72"/>
      <c r="G40" s="72"/>
      <c r="H40" s="72"/>
      <c r="I40" s="2"/>
      <c r="J40" s="735"/>
      <c r="K40" s="735"/>
      <c r="L40" s="735"/>
      <c r="M40" s="735"/>
      <c r="N40" s="735"/>
      <c r="O40" s="735"/>
      <c r="P40" s="735"/>
      <c r="Q40" s="70"/>
      <c r="R40" s="2"/>
      <c r="S40" s="2"/>
      <c r="T40" s="2"/>
    </row>
    <row r="41" spans="1:20">
      <c r="A41" s="22">
        <v>41954</v>
      </c>
      <c r="B41" s="20" t="s">
        <v>3</v>
      </c>
      <c r="C41" s="33">
        <f t="shared" si="5"/>
        <v>41954</v>
      </c>
      <c r="D41" s="33"/>
      <c r="E41" s="72"/>
      <c r="F41" s="72"/>
      <c r="G41" s="72"/>
      <c r="H41" s="72"/>
      <c r="I41" s="2"/>
      <c r="J41" s="735"/>
      <c r="K41" s="735"/>
      <c r="L41" s="735"/>
      <c r="M41" s="735"/>
      <c r="N41" s="735"/>
      <c r="O41" s="735"/>
      <c r="P41" s="735"/>
      <c r="Q41" s="70"/>
      <c r="R41" s="2"/>
      <c r="S41" s="2"/>
      <c r="T41" s="2"/>
    </row>
    <row r="42" spans="1:20">
      <c r="A42" s="22">
        <v>41970</v>
      </c>
      <c r="B42" s="20" t="s">
        <v>4</v>
      </c>
      <c r="C42" s="33">
        <f t="shared" si="5"/>
        <v>41970</v>
      </c>
      <c r="D42" s="33"/>
      <c r="E42" s="72"/>
      <c r="F42" s="72"/>
      <c r="G42" s="72"/>
      <c r="H42" s="72"/>
      <c r="I42" s="2"/>
      <c r="J42" s="735"/>
      <c r="K42" s="735"/>
      <c r="L42" s="735"/>
      <c r="M42" s="735"/>
      <c r="N42" s="735"/>
      <c r="O42" s="735"/>
      <c r="P42" s="735"/>
      <c r="Q42" s="70"/>
      <c r="R42" s="2"/>
      <c r="S42" s="2"/>
      <c r="T42" s="2"/>
    </row>
    <row r="43" spans="1:20">
      <c r="A43" s="22">
        <v>41998</v>
      </c>
      <c r="B43" s="20" t="s">
        <v>6</v>
      </c>
      <c r="C43" s="33">
        <f t="shared" si="5"/>
        <v>41998</v>
      </c>
      <c r="D43" s="33"/>
      <c r="E43" s="72"/>
      <c r="F43" s="72"/>
      <c r="G43" s="72"/>
      <c r="H43" s="72"/>
      <c r="I43" s="2"/>
      <c r="J43" s="735"/>
      <c r="K43" s="735"/>
      <c r="L43" s="735"/>
      <c r="M43" s="735"/>
      <c r="N43" s="735"/>
      <c r="O43" s="735"/>
      <c r="P43" s="735"/>
      <c r="Q43" s="70"/>
      <c r="R43" s="2"/>
      <c r="S43" s="2"/>
      <c r="T43" s="2"/>
    </row>
    <row r="44" spans="1:20">
      <c r="A44" s="22">
        <v>42005</v>
      </c>
      <c r="B44" s="20" t="s">
        <v>7</v>
      </c>
      <c r="C44" s="33">
        <f t="shared" si="5"/>
        <v>42005</v>
      </c>
      <c r="D44" s="33"/>
      <c r="E44" s="72"/>
      <c r="F44" s="72"/>
      <c r="G44" s="72"/>
      <c r="H44" s="72"/>
      <c r="I44" s="2"/>
      <c r="J44" s="735"/>
      <c r="K44" s="735"/>
      <c r="L44" s="735"/>
      <c r="M44" s="735"/>
      <c r="N44" s="735"/>
      <c r="O44" s="735"/>
      <c r="P44" s="735"/>
      <c r="Q44" s="70"/>
      <c r="R44" s="2"/>
      <c r="S44" s="2"/>
      <c r="T44" s="2"/>
    </row>
    <row r="45" spans="1:20">
      <c r="A45" s="22">
        <v>42023</v>
      </c>
      <c r="B45" s="20" t="s">
        <v>8</v>
      </c>
      <c r="C45" s="33">
        <f t="shared" si="5"/>
        <v>42023</v>
      </c>
      <c r="D45" s="33"/>
      <c r="E45" s="72"/>
      <c r="F45" s="72"/>
      <c r="G45" s="72"/>
      <c r="H45" s="72"/>
      <c r="I45" s="2"/>
      <c r="J45" s="735"/>
      <c r="K45" s="735"/>
      <c r="L45" s="735"/>
      <c r="M45" s="735"/>
      <c r="N45" s="735"/>
      <c r="O45" s="735"/>
      <c r="P45" s="735"/>
      <c r="Q45" s="70"/>
      <c r="R45" s="2"/>
      <c r="S45" s="2"/>
      <c r="T45" s="2"/>
    </row>
    <row r="46" spans="1:20">
      <c r="A46" s="22">
        <v>42051</v>
      </c>
      <c r="B46" s="20" t="s">
        <v>9</v>
      </c>
      <c r="C46" s="33">
        <f t="shared" si="5"/>
        <v>42051</v>
      </c>
      <c r="D46" s="33"/>
      <c r="E46" s="72"/>
      <c r="F46" s="72"/>
      <c r="G46" s="72"/>
      <c r="H46" s="72"/>
      <c r="I46" s="2"/>
      <c r="J46" s="735"/>
      <c r="K46" s="735"/>
      <c r="L46" s="735"/>
      <c r="M46" s="735"/>
      <c r="N46" s="735"/>
      <c r="O46" s="735"/>
      <c r="P46" s="735"/>
      <c r="Q46" s="70"/>
      <c r="R46" s="2"/>
      <c r="S46" s="2"/>
      <c r="T46" s="2"/>
    </row>
    <row r="47" spans="1:20">
      <c r="A47" s="22">
        <v>42149</v>
      </c>
      <c r="B47" s="20" t="s">
        <v>10</v>
      </c>
      <c r="C47" s="33">
        <f t="shared" si="5"/>
        <v>42149</v>
      </c>
      <c r="D47" s="33"/>
      <c r="E47" s="72"/>
      <c r="F47" s="72"/>
      <c r="G47" s="72"/>
      <c r="H47" s="72"/>
      <c r="I47" s="2"/>
      <c r="J47" s="735"/>
      <c r="K47" s="735"/>
      <c r="L47" s="735"/>
      <c r="M47" s="735"/>
      <c r="N47" s="735"/>
      <c r="O47" s="735"/>
      <c r="P47" s="735"/>
      <c r="Q47" s="70"/>
      <c r="R47" s="2"/>
      <c r="S47" s="2"/>
      <c r="T47" s="2"/>
    </row>
    <row r="48" spans="1:20">
      <c r="A48" s="22">
        <v>42188</v>
      </c>
      <c r="B48" s="20" t="s">
        <v>11</v>
      </c>
      <c r="C48" s="33">
        <f t="shared" si="5"/>
        <v>42188</v>
      </c>
      <c r="D48" s="33"/>
      <c r="E48" s="72"/>
      <c r="F48" s="72"/>
      <c r="G48" s="72"/>
      <c r="H48" s="72"/>
      <c r="I48" s="2"/>
      <c r="J48" s="735"/>
      <c r="K48" s="735"/>
      <c r="L48" s="735"/>
      <c r="M48" s="735"/>
      <c r="N48" s="735"/>
      <c r="O48" s="735"/>
      <c r="P48" s="735"/>
      <c r="Q48" s="70"/>
      <c r="R48" s="2"/>
      <c r="S48" s="2"/>
      <c r="T48" s="2"/>
    </row>
    <row r="49" spans="1:20">
      <c r="A49" s="22">
        <v>42254</v>
      </c>
      <c r="B49" s="20" t="s">
        <v>12</v>
      </c>
      <c r="C49" s="33">
        <f t="shared" si="5"/>
        <v>42254</v>
      </c>
      <c r="D49" s="33"/>
      <c r="E49" s="72"/>
      <c r="F49" s="72"/>
      <c r="G49" s="72"/>
      <c r="H49" s="72"/>
      <c r="I49" s="2"/>
      <c r="J49" s="735"/>
      <c r="K49" s="735"/>
      <c r="L49" s="735"/>
      <c r="M49" s="735"/>
      <c r="N49" s="735"/>
      <c r="O49" s="735"/>
      <c r="P49" s="735"/>
      <c r="Q49" s="70"/>
      <c r="R49" s="2"/>
      <c r="S49" s="2"/>
      <c r="T49" s="2"/>
    </row>
    <row r="50" spans="1:20">
      <c r="A50" s="22">
        <v>42319</v>
      </c>
      <c r="B50" s="20" t="s">
        <v>3</v>
      </c>
      <c r="C50" s="33">
        <f t="shared" si="5"/>
        <v>42319</v>
      </c>
      <c r="D50" s="33"/>
      <c r="E50" s="72"/>
      <c r="F50" s="72"/>
      <c r="G50" s="72"/>
      <c r="H50" s="72"/>
      <c r="I50" s="2"/>
      <c r="J50" s="735"/>
      <c r="K50" s="735"/>
      <c r="L50" s="735"/>
      <c r="M50" s="735"/>
      <c r="N50" s="735"/>
      <c r="O50" s="735"/>
      <c r="P50" s="735"/>
      <c r="Q50" s="70"/>
      <c r="R50" s="2"/>
      <c r="S50" s="2"/>
      <c r="T50" s="2"/>
    </row>
    <row r="51" spans="1:20">
      <c r="A51" s="22">
        <v>42334</v>
      </c>
      <c r="B51" s="20" t="s">
        <v>4</v>
      </c>
      <c r="C51" s="33">
        <f t="shared" si="5"/>
        <v>42334</v>
      </c>
      <c r="D51" s="33"/>
      <c r="E51" s="72"/>
      <c r="F51" s="72"/>
      <c r="G51" s="72"/>
      <c r="H51" s="72"/>
      <c r="I51" s="2"/>
      <c r="J51" s="735"/>
      <c r="K51" s="735"/>
      <c r="L51" s="735"/>
      <c r="M51" s="735"/>
      <c r="N51" s="735"/>
      <c r="O51" s="735"/>
      <c r="P51" s="735"/>
      <c r="Q51" s="70"/>
      <c r="R51" s="2"/>
      <c r="S51" s="2"/>
      <c r="T51" s="2"/>
    </row>
    <row r="52" spans="1:20">
      <c r="A52" s="22">
        <v>42363</v>
      </c>
      <c r="B52" s="20" t="s">
        <v>6</v>
      </c>
      <c r="C52" s="33">
        <f t="shared" si="5"/>
        <v>42363</v>
      </c>
      <c r="D52" s="33"/>
      <c r="E52" s="72"/>
      <c r="F52" s="72"/>
      <c r="G52" s="72"/>
      <c r="H52" s="72"/>
      <c r="I52" s="2"/>
      <c r="J52" s="735"/>
      <c r="K52" s="735"/>
      <c r="L52" s="735"/>
      <c r="M52" s="735"/>
      <c r="N52" s="735"/>
      <c r="O52" s="735"/>
      <c r="P52" s="735"/>
      <c r="Q52" s="70"/>
      <c r="R52" s="2"/>
      <c r="S52" s="2"/>
      <c r="T52" s="2"/>
    </row>
    <row r="53" spans="1:20">
      <c r="A53" s="22">
        <v>42370</v>
      </c>
      <c r="B53" s="20" t="s">
        <v>7</v>
      </c>
      <c r="C53" s="33">
        <f t="shared" ref="C53:C61" si="6">A53</f>
        <v>42370</v>
      </c>
      <c r="D53" s="33"/>
      <c r="E53" s="72"/>
      <c r="F53" s="72"/>
      <c r="G53" s="72"/>
      <c r="H53" s="72"/>
      <c r="I53" s="2"/>
      <c r="J53" s="735"/>
      <c r="K53" s="735"/>
      <c r="L53" s="735"/>
      <c r="M53" s="735"/>
      <c r="N53" s="735"/>
      <c r="O53" s="735"/>
      <c r="P53" s="735"/>
      <c r="Q53" s="70"/>
      <c r="R53" s="2"/>
      <c r="S53" s="2"/>
      <c r="T53" s="2"/>
    </row>
    <row r="54" spans="1:20">
      <c r="A54" s="22">
        <v>42387</v>
      </c>
      <c r="B54" s="20" t="s">
        <v>8</v>
      </c>
      <c r="C54" s="33">
        <f t="shared" si="6"/>
        <v>42387</v>
      </c>
      <c r="D54" s="33"/>
      <c r="E54" s="72"/>
      <c r="F54" s="72"/>
      <c r="G54" s="72"/>
      <c r="H54" s="72"/>
      <c r="I54" s="2"/>
      <c r="J54" s="735"/>
      <c r="K54" s="735"/>
      <c r="L54" s="735"/>
      <c r="M54" s="735"/>
      <c r="N54" s="735"/>
      <c r="O54" s="735"/>
      <c r="P54" s="735"/>
      <c r="Q54" s="70"/>
      <c r="R54" s="2"/>
      <c r="S54" s="2"/>
      <c r="T54" s="2"/>
    </row>
    <row r="55" spans="1:20">
      <c r="A55" s="22">
        <v>42415</v>
      </c>
      <c r="B55" s="20" t="s">
        <v>9</v>
      </c>
      <c r="C55" s="33">
        <f t="shared" si="6"/>
        <v>42415</v>
      </c>
      <c r="D55" s="33"/>
      <c r="E55" s="72"/>
      <c r="F55" s="72"/>
      <c r="G55" s="72"/>
      <c r="H55" s="72"/>
      <c r="I55" s="2"/>
      <c r="J55" s="735"/>
      <c r="K55" s="735"/>
      <c r="L55" s="735"/>
      <c r="M55" s="735"/>
      <c r="N55" s="735"/>
      <c r="O55" s="735"/>
      <c r="P55" s="735"/>
      <c r="Q55" s="70"/>
      <c r="R55" s="2"/>
      <c r="S55" s="2"/>
      <c r="T55" s="2"/>
    </row>
    <row r="56" spans="1:20">
      <c r="A56" s="22">
        <v>42520</v>
      </c>
      <c r="B56" s="20" t="s">
        <v>10</v>
      </c>
      <c r="C56" s="33">
        <f t="shared" si="6"/>
        <v>42520</v>
      </c>
      <c r="D56" s="33"/>
      <c r="E56" s="72"/>
      <c r="F56" s="72"/>
      <c r="G56" s="72"/>
      <c r="H56" s="72"/>
      <c r="I56" s="2"/>
      <c r="J56" s="735"/>
      <c r="K56" s="735"/>
      <c r="L56" s="735"/>
      <c r="M56" s="735"/>
      <c r="N56" s="735"/>
      <c r="O56" s="735"/>
      <c r="P56" s="735"/>
      <c r="Q56" s="70"/>
      <c r="R56" s="2"/>
      <c r="S56" s="2"/>
      <c r="T56" s="2"/>
    </row>
    <row r="57" spans="1:20">
      <c r="A57" s="22">
        <v>42555</v>
      </c>
      <c r="B57" s="20" t="s">
        <v>11</v>
      </c>
      <c r="C57" s="33">
        <f t="shared" si="6"/>
        <v>42555</v>
      </c>
      <c r="D57" s="33"/>
      <c r="E57" s="72"/>
      <c r="F57" s="72"/>
      <c r="G57" s="72"/>
      <c r="H57" s="72"/>
      <c r="I57" s="2"/>
      <c r="J57" s="735"/>
      <c r="K57" s="735"/>
      <c r="L57" s="735"/>
      <c r="M57" s="735"/>
      <c r="N57" s="735"/>
      <c r="O57" s="735"/>
      <c r="P57" s="735"/>
      <c r="Q57" s="70"/>
      <c r="R57" s="2"/>
      <c r="S57" s="2"/>
      <c r="T57" s="2"/>
    </row>
    <row r="58" spans="1:20">
      <c r="A58" s="22">
        <v>42618</v>
      </c>
      <c r="B58" s="20" t="s">
        <v>12</v>
      </c>
      <c r="C58" s="33">
        <f t="shared" si="6"/>
        <v>42618</v>
      </c>
      <c r="D58" s="33"/>
      <c r="E58" s="72"/>
      <c r="F58" s="72"/>
      <c r="G58" s="72"/>
      <c r="H58" s="72"/>
      <c r="I58" s="2"/>
      <c r="J58" s="735"/>
      <c r="K58" s="735"/>
      <c r="L58" s="735"/>
      <c r="M58" s="735"/>
      <c r="N58" s="735"/>
      <c r="O58" s="735"/>
      <c r="P58" s="735"/>
      <c r="Q58" s="70"/>
      <c r="R58" s="2"/>
      <c r="S58" s="2"/>
      <c r="T58" s="2"/>
    </row>
    <row r="59" spans="1:20">
      <c r="A59" s="22">
        <v>42685</v>
      </c>
      <c r="B59" s="20" t="s">
        <v>3</v>
      </c>
      <c r="C59" s="33">
        <f t="shared" si="6"/>
        <v>42685</v>
      </c>
      <c r="D59" s="33"/>
      <c r="E59" s="72"/>
      <c r="F59" s="72"/>
      <c r="G59" s="72"/>
      <c r="H59" s="72"/>
      <c r="I59" s="2"/>
      <c r="J59" s="735"/>
      <c r="K59" s="735"/>
      <c r="L59" s="735"/>
      <c r="M59" s="735"/>
      <c r="N59" s="735"/>
      <c r="O59" s="735"/>
      <c r="P59" s="735"/>
      <c r="Q59" s="70"/>
      <c r="R59" s="2"/>
      <c r="S59" s="2"/>
      <c r="T59" s="2"/>
    </row>
    <row r="60" spans="1:20">
      <c r="A60" s="22">
        <v>42698</v>
      </c>
      <c r="B60" s="20" t="s">
        <v>4</v>
      </c>
      <c r="C60" s="33">
        <f t="shared" si="6"/>
        <v>42698</v>
      </c>
      <c r="D60" s="33"/>
      <c r="E60" s="72"/>
      <c r="F60" s="72"/>
      <c r="G60" s="72"/>
      <c r="H60" s="72"/>
      <c r="I60" s="2"/>
      <c r="J60" s="735"/>
      <c r="K60" s="735"/>
      <c r="L60" s="735"/>
      <c r="M60" s="735"/>
      <c r="N60" s="735"/>
      <c r="O60" s="735"/>
      <c r="P60" s="735"/>
      <c r="Q60" s="70"/>
      <c r="R60" s="2"/>
      <c r="S60" s="2"/>
      <c r="T60" s="2"/>
    </row>
    <row r="61" spans="1:20">
      <c r="A61" s="22">
        <v>42730</v>
      </c>
      <c r="B61" s="20" t="s">
        <v>6</v>
      </c>
      <c r="C61" s="33">
        <f t="shared" si="6"/>
        <v>42730</v>
      </c>
      <c r="D61" s="33"/>
      <c r="E61" s="72"/>
      <c r="F61" s="72"/>
      <c r="G61" s="72"/>
      <c r="H61" s="72"/>
      <c r="I61" s="2"/>
      <c r="J61" s="735"/>
      <c r="K61" s="735"/>
      <c r="L61" s="735"/>
      <c r="M61" s="735"/>
      <c r="N61" s="735"/>
      <c r="O61" s="735"/>
      <c r="P61" s="735"/>
      <c r="Q61" s="70"/>
      <c r="R61" s="2"/>
      <c r="S61" s="2"/>
      <c r="T61" s="2"/>
    </row>
    <row r="62" spans="1:20">
      <c r="A62" s="22">
        <v>42737</v>
      </c>
      <c r="B62" s="20" t="s">
        <v>7</v>
      </c>
      <c r="C62" s="33">
        <f t="shared" ref="C62:C70" si="7">A62</f>
        <v>42737</v>
      </c>
      <c r="D62" s="33"/>
      <c r="E62" s="72"/>
      <c r="F62" s="72"/>
      <c r="G62" s="72"/>
      <c r="H62" s="72"/>
      <c r="I62" s="2"/>
      <c r="J62" s="735"/>
      <c r="K62" s="735"/>
      <c r="L62" s="735"/>
      <c r="M62" s="735"/>
      <c r="N62" s="735"/>
      <c r="O62" s="735"/>
      <c r="P62" s="735"/>
      <c r="Q62" s="70"/>
      <c r="R62" s="2"/>
      <c r="S62" s="2"/>
      <c r="T62" s="2"/>
    </row>
    <row r="63" spans="1:20">
      <c r="A63" s="22">
        <v>42751</v>
      </c>
      <c r="B63" s="20" t="s">
        <v>8</v>
      </c>
      <c r="C63" s="33">
        <f t="shared" si="7"/>
        <v>42751</v>
      </c>
      <c r="D63" s="33"/>
      <c r="E63" s="72"/>
      <c r="F63" s="72"/>
      <c r="G63" s="72"/>
      <c r="H63" s="72"/>
      <c r="I63" s="2"/>
      <c r="J63" s="735"/>
      <c r="K63" s="735"/>
      <c r="L63" s="735"/>
      <c r="M63" s="735"/>
      <c r="N63" s="735"/>
      <c r="O63" s="735"/>
      <c r="P63" s="735"/>
      <c r="Q63" s="70"/>
      <c r="R63" s="2"/>
      <c r="S63" s="2"/>
      <c r="T63" s="2"/>
    </row>
    <row r="64" spans="1:20">
      <c r="A64" s="22">
        <v>42786</v>
      </c>
      <c r="B64" s="20" t="s">
        <v>9</v>
      </c>
      <c r="C64" s="33">
        <f t="shared" si="7"/>
        <v>42786</v>
      </c>
      <c r="D64" s="33"/>
      <c r="E64" s="72"/>
      <c r="F64" s="72"/>
      <c r="G64" s="72"/>
      <c r="H64" s="72"/>
      <c r="I64" s="2"/>
      <c r="J64" s="735"/>
      <c r="K64" s="735"/>
      <c r="L64" s="735"/>
      <c r="M64" s="735"/>
      <c r="N64" s="735"/>
      <c r="O64" s="735"/>
      <c r="P64" s="735"/>
      <c r="Q64" s="70"/>
      <c r="R64" s="2"/>
      <c r="S64" s="2"/>
      <c r="T64" s="2"/>
    </row>
    <row r="65" spans="1:20">
      <c r="A65" s="22">
        <v>42884</v>
      </c>
      <c r="B65" s="20" t="s">
        <v>10</v>
      </c>
      <c r="C65" s="33">
        <f t="shared" si="7"/>
        <v>42884</v>
      </c>
      <c r="D65" s="33"/>
      <c r="E65" s="72"/>
      <c r="F65" s="72"/>
      <c r="G65" s="72"/>
      <c r="H65" s="72"/>
      <c r="I65" s="2"/>
      <c r="J65" s="735"/>
      <c r="K65" s="735"/>
      <c r="L65" s="735"/>
      <c r="M65" s="735"/>
      <c r="N65" s="735"/>
      <c r="O65" s="735"/>
      <c r="P65" s="735"/>
      <c r="Q65" s="70"/>
      <c r="R65" s="2"/>
      <c r="S65" s="2"/>
      <c r="T65" s="2"/>
    </row>
    <row r="66" spans="1:20">
      <c r="A66" s="22">
        <v>42920</v>
      </c>
      <c r="B66" s="20" t="s">
        <v>11</v>
      </c>
      <c r="C66" s="33">
        <f t="shared" si="7"/>
        <v>42920</v>
      </c>
      <c r="D66" s="33"/>
      <c r="E66" s="72"/>
      <c r="F66" s="72"/>
      <c r="G66" s="72"/>
      <c r="H66" s="72"/>
      <c r="I66" s="2"/>
      <c r="J66" s="735"/>
      <c r="K66" s="735"/>
      <c r="L66" s="735"/>
      <c r="M66" s="735"/>
      <c r="N66" s="735"/>
      <c r="O66" s="735"/>
      <c r="P66" s="735"/>
      <c r="Q66" s="70"/>
      <c r="R66" s="2"/>
      <c r="S66" s="2"/>
      <c r="T66" s="2"/>
    </row>
    <row r="67" spans="1:20">
      <c r="A67" s="22">
        <v>42982</v>
      </c>
      <c r="B67" s="20" t="s">
        <v>12</v>
      </c>
      <c r="C67" s="33">
        <f t="shared" si="7"/>
        <v>42982</v>
      </c>
      <c r="D67" s="33"/>
      <c r="E67" s="72"/>
      <c r="F67" s="72"/>
      <c r="G67" s="72"/>
      <c r="H67" s="72"/>
      <c r="I67" s="2"/>
      <c r="J67" s="735"/>
      <c r="K67" s="735"/>
      <c r="L67" s="735"/>
      <c r="M67" s="735"/>
      <c r="N67" s="735"/>
      <c r="O67" s="735"/>
      <c r="P67" s="735"/>
      <c r="Q67" s="70"/>
      <c r="R67" s="2"/>
      <c r="S67" s="2"/>
      <c r="T67" s="2"/>
    </row>
    <row r="68" spans="1:20">
      <c r="A68" s="22">
        <v>43049</v>
      </c>
      <c r="B68" s="20" t="s">
        <v>3</v>
      </c>
      <c r="C68" s="33">
        <f t="shared" si="7"/>
        <v>43049</v>
      </c>
      <c r="D68" s="33"/>
      <c r="E68" s="72"/>
      <c r="F68" s="72"/>
      <c r="G68" s="72"/>
      <c r="H68" s="72"/>
      <c r="I68" s="2"/>
      <c r="J68" s="735"/>
      <c r="K68" s="735"/>
      <c r="L68" s="735"/>
      <c r="M68" s="735"/>
      <c r="N68" s="735"/>
      <c r="O68" s="735"/>
      <c r="P68" s="735"/>
      <c r="Q68" s="70"/>
      <c r="R68" s="2"/>
      <c r="S68" s="2"/>
      <c r="T68" s="2"/>
    </row>
    <row r="69" spans="1:20">
      <c r="A69" s="22">
        <v>43062</v>
      </c>
      <c r="B69" s="20" t="s">
        <v>4</v>
      </c>
      <c r="C69" s="33">
        <f t="shared" si="7"/>
        <v>43062</v>
      </c>
      <c r="D69" s="33"/>
      <c r="E69" s="72"/>
      <c r="F69" s="72"/>
      <c r="G69" s="72"/>
      <c r="H69" s="72"/>
      <c r="I69" s="2"/>
      <c r="J69" s="735"/>
      <c r="K69" s="735"/>
      <c r="L69" s="735"/>
      <c r="M69" s="735"/>
      <c r="N69" s="735"/>
      <c r="O69" s="735"/>
      <c r="P69" s="735"/>
      <c r="Q69" s="70"/>
      <c r="R69" s="2"/>
      <c r="S69" s="2"/>
      <c r="T69" s="2"/>
    </row>
    <row r="70" spans="1:20">
      <c r="A70" s="22">
        <v>43094</v>
      </c>
      <c r="B70" s="20" t="s">
        <v>6</v>
      </c>
      <c r="C70" s="33">
        <f t="shared" si="7"/>
        <v>43094</v>
      </c>
      <c r="D70" s="33"/>
      <c r="E70" s="72"/>
      <c r="F70" s="72"/>
      <c r="G70" s="72"/>
      <c r="H70" s="72"/>
      <c r="I70" s="2"/>
      <c r="J70" s="735"/>
      <c r="K70" s="735"/>
      <c r="L70" s="735"/>
      <c r="M70" s="735"/>
      <c r="N70" s="735"/>
      <c r="O70" s="735"/>
      <c r="P70" s="735"/>
      <c r="Q70" s="70"/>
      <c r="R70" s="2"/>
      <c r="S70" s="2"/>
      <c r="T70" s="2"/>
    </row>
    <row r="71" spans="1:20">
      <c r="A71" s="22">
        <v>43101</v>
      </c>
      <c r="B71" s="20" t="s">
        <v>7</v>
      </c>
      <c r="C71" s="33">
        <f t="shared" si="5"/>
        <v>43101</v>
      </c>
      <c r="D71" s="33"/>
      <c r="E71" s="72"/>
      <c r="F71" s="72"/>
      <c r="G71" s="72"/>
      <c r="H71" s="72"/>
      <c r="I71" s="2"/>
      <c r="J71" s="735"/>
      <c r="K71" s="735"/>
      <c r="L71" s="735"/>
      <c r="M71" s="735"/>
      <c r="N71" s="735"/>
      <c r="O71" s="735"/>
      <c r="P71" s="735"/>
      <c r="Q71" s="70"/>
      <c r="R71" s="2"/>
      <c r="S71" s="2"/>
      <c r="T71" s="2"/>
    </row>
    <row r="72" spans="1:20">
      <c r="A72" s="18" t="s">
        <v>25</v>
      </c>
      <c r="B72" s="19"/>
      <c r="C72" s="7"/>
      <c r="D72" s="7"/>
      <c r="E72" s="73"/>
      <c r="F72" s="73"/>
      <c r="G72" s="73"/>
      <c r="H72" s="73"/>
      <c r="I72" s="2"/>
      <c r="J72" s="735"/>
      <c r="K72" s="735"/>
      <c r="L72" s="735"/>
      <c r="M72" s="735"/>
      <c r="N72" s="735"/>
      <c r="O72" s="735"/>
      <c r="P72" s="735"/>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topLeftCell="A299" zoomScaleNormal="100" workbookViewId="0">
      <selection activeCell="B316" sqref="B316"/>
    </sheetView>
  </sheetViews>
  <sheetFormatPr defaultRowHeight="14.25" outlineLevelRow="2" outlineLevelCol="1"/>
  <cols>
    <col min="1" max="1" width="1.5" customWidth="1"/>
    <col min="2" max="2" width="43.625" customWidth="1"/>
    <col min="3" max="3" width="2.5" style="711" customWidth="1"/>
    <col min="4" max="4" width="10.5" style="46" customWidth="1"/>
    <col min="5" max="6" width="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6"/>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36" t="s">
        <v>299</v>
      </c>
      <c r="AAF1" s="736"/>
      <c r="AAG1" s="736"/>
      <c r="AAH1" s="736"/>
      <c r="AAI1" s="736"/>
      <c r="AAJ1" s="736"/>
      <c r="AAK1" s="736"/>
      <c r="AAL1" s="331"/>
      <c r="AAM1" s="112"/>
      <c r="AAN1"/>
      <c r="AAT1" s="23"/>
      <c r="AAU1" s="44"/>
    </row>
    <row r="2" spans="1:745" ht="17.25" customHeight="1">
      <c r="A2" s="763"/>
      <c r="B2" s="768" t="s">
        <v>124</v>
      </c>
      <c r="C2" s="749" t="s">
        <v>392</v>
      </c>
      <c r="D2" s="749"/>
      <c r="E2" s="749"/>
      <c r="F2" s="749"/>
      <c r="G2" s="749"/>
      <c r="H2" s="749"/>
      <c r="I2" s="588"/>
      <c r="J2" s="626" t="s">
        <v>312</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36"/>
      <c r="AAF2" s="736"/>
      <c r="AAG2" s="736"/>
      <c r="AAH2" s="736"/>
      <c r="AAI2" s="736"/>
      <c r="AAJ2" s="736"/>
      <c r="AAK2" s="736"/>
      <c r="AAL2" s="332">
        <f>ROW(S.LastCellSchedule)</f>
        <v>470</v>
      </c>
      <c r="AAM2" s="112"/>
      <c r="AAN2"/>
      <c r="AAO2" s="747" t="s">
        <v>298</v>
      </c>
      <c r="AAP2" s="747"/>
      <c r="AAQ2" s="747"/>
      <c r="AAR2" s="747"/>
      <c r="AAS2" s="747"/>
      <c r="AAT2" s="747"/>
      <c r="AAU2" s="44"/>
    </row>
    <row r="3" spans="1:745" ht="18" customHeight="1">
      <c r="A3" s="763"/>
      <c r="B3" s="768"/>
      <c r="C3" s="749"/>
      <c r="D3" s="749"/>
      <c r="E3" s="749"/>
      <c r="F3" s="749"/>
      <c r="G3" s="749"/>
      <c r="H3" s="749"/>
      <c r="I3" s="588"/>
      <c r="J3" s="676">
        <v>0</v>
      </c>
      <c r="K3" s="35"/>
      <c r="N3" s="53"/>
      <c r="O3" s="750" t="s">
        <v>67</v>
      </c>
      <c r="P3" s="751"/>
      <c r="Q3" s="53"/>
      <c r="R3" s="752" t="s">
        <v>66</v>
      </c>
      <c r="S3" s="753"/>
      <c r="T3" s="589"/>
      <c r="U3" s="754" t="s">
        <v>65</v>
      </c>
      <c r="V3" s="755"/>
      <c r="W3" s="589"/>
      <c r="X3" s="589"/>
      <c r="AM3" s="750" t="s">
        <v>67</v>
      </c>
      <c r="AN3" s="751"/>
      <c r="AO3" s="53"/>
      <c r="AP3" s="752" t="s">
        <v>66</v>
      </c>
      <c r="AQ3" s="753"/>
      <c r="AR3" s="53"/>
      <c r="AS3" s="754" t="s">
        <v>65</v>
      </c>
      <c r="AT3" s="755"/>
      <c r="BO3" s="750" t="s">
        <v>67</v>
      </c>
      <c r="BP3" s="751"/>
      <c r="BQ3" s="53"/>
      <c r="BR3" s="752" t="s">
        <v>66</v>
      </c>
      <c r="BS3" s="753"/>
      <c r="BT3" s="53"/>
      <c r="BU3" s="754" t="s">
        <v>65</v>
      </c>
      <c r="BV3" s="755"/>
      <c r="CP3" s="750" t="s">
        <v>67</v>
      </c>
      <c r="CQ3" s="751"/>
      <c r="CR3" s="53"/>
      <c r="CS3" s="752" t="s">
        <v>66</v>
      </c>
      <c r="CT3" s="753"/>
      <c r="CU3" s="53"/>
      <c r="CV3" s="754" t="s">
        <v>65</v>
      </c>
      <c r="CW3" s="755"/>
      <c r="DQ3" s="750" t="s">
        <v>67</v>
      </c>
      <c r="DR3" s="751"/>
      <c r="DS3" s="53"/>
      <c r="DT3" s="752" t="s">
        <v>66</v>
      </c>
      <c r="DU3" s="753"/>
      <c r="DV3" s="53"/>
      <c r="DW3" s="754" t="s">
        <v>65</v>
      </c>
      <c r="DX3" s="755"/>
      <c r="ER3" s="750" t="s">
        <v>67</v>
      </c>
      <c r="ES3" s="751"/>
      <c r="ET3" s="53"/>
      <c r="EU3" s="752" t="s">
        <v>66</v>
      </c>
      <c r="EV3" s="753"/>
      <c r="EW3" s="53"/>
      <c r="EX3" s="754" t="s">
        <v>65</v>
      </c>
      <c r="EY3" s="755"/>
      <c r="FS3" s="750" t="s">
        <v>67</v>
      </c>
      <c r="FT3" s="751"/>
      <c r="FU3" s="53"/>
      <c r="FV3" s="752" t="s">
        <v>66</v>
      </c>
      <c r="FW3" s="753"/>
      <c r="FX3" s="53"/>
      <c r="FY3" s="754" t="s">
        <v>65</v>
      </c>
      <c r="FZ3" s="755"/>
      <c r="GT3" s="750" t="s">
        <v>67</v>
      </c>
      <c r="GU3" s="751"/>
      <c r="GV3" s="53"/>
      <c r="GW3" s="752" t="s">
        <v>66</v>
      </c>
      <c r="GX3" s="753"/>
      <c r="GY3" s="53"/>
      <c r="GZ3" s="754" t="s">
        <v>65</v>
      </c>
      <c r="HA3" s="755"/>
      <c r="HU3" s="750" t="s">
        <v>67</v>
      </c>
      <c r="HV3" s="751"/>
      <c r="HW3" s="53"/>
      <c r="HX3" s="752" t="s">
        <v>66</v>
      </c>
      <c r="HY3" s="753"/>
      <c r="HZ3" s="53"/>
      <c r="IA3" s="754" t="s">
        <v>65</v>
      </c>
      <c r="IB3" s="755"/>
      <c r="IW3" s="750" t="s">
        <v>67</v>
      </c>
      <c r="IX3" s="751"/>
      <c r="IY3" s="53"/>
      <c r="IZ3" s="752" t="s">
        <v>66</v>
      </c>
      <c r="JA3" s="753"/>
      <c r="JB3" s="53"/>
      <c r="JC3" s="754" t="s">
        <v>65</v>
      </c>
      <c r="JD3" s="755"/>
      <c r="JY3" s="750" t="s">
        <v>67</v>
      </c>
      <c r="JZ3" s="751"/>
      <c r="KA3" s="53"/>
      <c r="KB3" s="752" t="s">
        <v>66</v>
      </c>
      <c r="KC3" s="753"/>
      <c r="KD3" s="53"/>
      <c r="KE3" s="754" t="s">
        <v>65</v>
      </c>
      <c r="KF3" s="755"/>
      <c r="LA3" s="750" t="s">
        <v>67</v>
      </c>
      <c r="LB3" s="751"/>
      <c r="LC3" s="53"/>
      <c r="LD3" s="752" t="s">
        <v>66</v>
      </c>
      <c r="LE3" s="753"/>
      <c r="LF3" s="53"/>
      <c r="LG3" s="754" t="s">
        <v>65</v>
      </c>
      <c r="LH3" s="755"/>
      <c r="MB3" s="750" t="s">
        <v>67</v>
      </c>
      <c r="MC3" s="751"/>
      <c r="MD3" s="53"/>
      <c r="ME3" s="752" t="s">
        <v>66</v>
      </c>
      <c r="MF3" s="753"/>
      <c r="MG3" s="53"/>
      <c r="MH3" s="754" t="s">
        <v>65</v>
      </c>
      <c r="MI3" s="755"/>
      <c r="ND3" s="750" t="s">
        <v>67</v>
      </c>
      <c r="NE3" s="751"/>
      <c r="NF3" s="53"/>
      <c r="NG3" s="752" t="s">
        <v>66</v>
      </c>
      <c r="NH3" s="753"/>
      <c r="NI3" s="53"/>
      <c r="NJ3" s="754" t="s">
        <v>65</v>
      </c>
      <c r="NK3" s="755"/>
      <c r="OE3" s="750" t="s">
        <v>67</v>
      </c>
      <c r="OF3" s="751"/>
      <c r="OG3" s="53"/>
      <c r="OH3" s="752" t="s">
        <v>66</v>
      </c>
      <c r="OI3" s="753"/>
      <c r="OJ3" s="53"/>
      <c r="OK3" s="754" t="s">
        <v>65</v>
      </c>
      <c r="OL3" s="755"/>
      <c r="PG3" s="750" t="s">
        <v>67</v>
      </c>
      <c r="PH3" s="751"/>
      <c r="PI3" s="53"/>
      <c r="PJ3" s="752" t="s">
        <v>66</v>
      </c>
      <c r="PK3" s="753"/>
      <c r="PL3" s="53"/>
      <c r="PM3" s="754" t="s">
        <v>65</v>
      </c>
      <c r="PN3" s="755"/>
      <c r="QH3" s="750" t="s">
        <v>67</v>
      </c>
      <c r="QI3" s="751"/>
      <c r="QJ3" s="53"/>
      <c r="QK3" s="752" t="s">
        <v>66</v>
      </c>
      <c r="QL3" s="753"/>
      <c r="QM3" s="53"/>
      <c r="QN3" s="754" t="s">
        <v>65</v>
      </c>
      <c r="QO3" s="755"/>
      <c r="RI3" s="750" t="s">
        <v>67</v>
      </c>
      <c r="RJ3" s="751"/>
      <c r="RK3" s="53"/>
      <c r="RL3" s="752" t="s">
        <v>66</v>
      </c>
      <c r="RM3" s="753"/>
      <c r="RN3" s="53"/>
      <c r="RO3" s="754" t="s">
        <v>65</v>
      </c>
      <c r="RP3" s="755"/>
      <c r="SK3" s="750" t="s">
        <v>67</v>
      </c>
      <c r="SL3" s="751"/>
      <c r="SM3" s="53"/>
      <c r="SN3" s="752" t="s">
        <v>66</v>
      </c>
      <c r="SO3" s="753"/>
      <c r="SP3" s="53"/>
      <c r="SQ3" s="754" t="s">
        <v>65</v>
      </c>
      <c r="SR3" s="755"/>
      <c r="TM3" s="750" t="s">
        <v>67</v>
      </c>
      <c r="TN3" s="751"/>
      <c r="TO3" s="53"/>
      <c r="TP3" s="752" t="s">
        <v>66</v>
      </c>
      <c r="TQ3" s="753"/>
      <c r="TR3" s="53"/>
      <c r="TS3" s="754" t="s">
        <v>65</v>
      </c>
      <c r="TT3" s="755"/>
      <c r="UP3" s="750" t="s">
        <v>67</v>
      </c>
      <c r="UQ3" s="751"/>
      <c r="UR3" s="53"/>
      <c r="US3" s="752" t="s">
        <v>66</v>
      </c>
      <c r="UT3" s="753"/>
      <c r="UU3" s="53"/>
      <c r="UV3" s="754" t="s">
        <v>65</v>
      </c>
      <c r="UW3" s="755"/>
      <c r="VQ3" s="750" t="s">
        <v>67</v>
      </c>
      <c r="VR3" s="751"/>
      <c r="VS3" s="53"/>
      <c r="VT3" s="752" t="s">
        <v>66</v>
      </c>
      <c r="VU3" s="753"/>
      <c r="VV3" s="53"/>
      <c r="VW3" s="754" t="s">
        <v>65</v>
      </c>
      <c r="VX3" s="755"/>
      <c r="WR3" s="750" t="s">
        <v>67</v>
      </c>
      <c r="WS3" s="751"/>
      <c r="WT3" s="53"/>
      <c r="WU3" s="752" t="s">
        <v>66</v>
      </c>
      <c r="WV3" s="753"/>
      <c r="WW3" s="53"/>
      <c r="WX3" s="754" t="s">
        <v>65</v>
      </c>
      <c r="WY3" s="755"/>
      <c r="XT3" s="750" t="s">
        <v>67</v>
      </c>
      <c r="XU3" s="751"/>
      <c r="XV3" s="53"/>
      <c r="XW3" s="752" t="s">
        <v>66</v>
      </c>
      <c r="XX3" s="753"/>
      <c r="XY3" s="53"/>
      <c r="XZ3" s="754" t="s">
        <v>65</v>
      </c>
      <c r="YA3" s="755"/>
      <c r="YU3" s="750" t="s">
        <v>67</v>
      </c>
      <c r="YV3" s="751"/>
      <c r="YW3" s="53"/>
      <c r="YX3" s="752" t="s">
        <v>66</v>
      </c>
      <c r="YY3" s="753"/>
      <c r="YZ3" s="53"/>
      <c r="ZA3" s="754" t="s">
        <v>65</v>
      </c>
      <c r="ZB3" s="755"/>
      <c r="ZY3"/>
      <c r="AAA3" s="588"/>
      <c r="AAD3" s="112"/>
      <c r="AAE3" s="550"/>
      <c r="AAF3" s="582" t="s">
        <v>225</v>
      </c>
      <c r="AAG3" s="61"/>
      <c r="AAH3" s="61"/>
      <c r="AAI3" s="61"/>
      <c r="AAJ3" s="111"/>
      <c r="AAK3" s="111"/>
      <c r="AAL3" s="62"/>
      <c r="AAM3" s="112"/>
      <c r="AAN3"/>
      <c r="AAT3" s="23"/>
      <c r="AAU3" s="44"/>
    </row>
    <row r="4" spans="1:745" ht="25.5" customHeight="1">
      <c r="A4" s="558"/>
      <c r="B4" s="204" t="s">
        <v>83</v>
      </c>
      <c r="C4" s="687" t="s">
        <v>0</v>
      </c>
      <c r="D4" s="516"/>
      <c r="E4" s="767" t="s">
        <v>2</v>
      </c>
      <c r="F4" s="767"/>
      <c r="G4" s="773" t="str">
        <f ca="1">"Today "&amp;TEXT(TODAY(),"mm/dd/yy")</f>
        <v>Today 07/08/13</v>
      </c>
      <c r="H4" s="773"/>
      <c r="I4" s="598"/>
      <c r="J4" s="729">
        <f ca="1">J5</f>
        <v>41463</v>
      </c>
      <c r="K4" s="729" t="str">
        <f ca="1">IF(WEEKDAY(K$6)=2,K6,"")</f>
        <v/>
      </c>
      <c r="L4" s="729" t="str">
        <f t="shared" ref="L4:BW4" ca="1" si="0">IF(WEEKDAY(L$6)=2,L6,"")</f>
        <v/>
      </c>
      <c r="M4" s="729" t="str">
        <f t="shared" ca="1" si="0"/>
        <v/>
      </c>
      <c r="N4" s="729" t="str">
        <f t="shared" ca="1" si="0"/>
        <v/>
      </c>
      <c r="O4" s="729" t="str">
        <f t="shared" ca="1" si="0"/>
        <v/>
      </c>
      <c r="P4" s="729" t="str">
        <f t="shared" ca="1" si="0"/>
        <v/>
      </c>
      <c r="Q4" s="729">
        <f t="shared" ca="1" si="0"/>
        <v>41470</v>
      </c>
      <c r="R4" s="729" t="str">
        <f t="shared" ca="1" si="0"/>
        <v/>
      </c>
      <c r="S4" s="729" t="str">
        <f t="shared" ca="1" si="0"/>
        <v/>
      </c>
      <c r="T4" s="729" t="str">
        <f t="shared" ca="1" si="0"/>
        <v/>
      </c>
      <c r="U4" s="729" t="str">
        <f t="shared" ca="1" si="0"/>
        <v/>
      </c>
      <c r="V4" s="729" t="str">
        <f t="shared" ca="1" si="0"/>
        <v/>
      </c>
      <c r="W4" s="729" t="str">
        <f t="shared" ca="1" si="0"/>
        <v/>
      </c>
      <c r="X4" s="729">
        <f t="shared" ca="1" si="0"/>
        <v>41477</v>
      </c>
      <c r="Y4" s="729" t="str">
        <f t="shared" ca="1" si="0"/>
        <v/>
      </c>
      <c r="Z4" s="729" t="str">
        <f t="shared" ca="1" si="0"/>
        <v/>
      </c>
      <c r="AA4" s="729" t="str">
        <f t="shared" ca="1" si="0"/>
        <v/>
      </c>
      <c r="AB4" s="729" t="str">
        <f t="shared" ca="1" si="0"/>
        <v/>
      </c>
      <c r="AC4" s="729" t="str">
        <f t="shared" ca="1" si="0"/>
        <v/>
      </c>
      <c r="AD4" s="729" t="str">
        <f t="shared" ca="1" si="0"/>
        <v/>
      </c>
      <c r="AE4" s="729">
        <f t="shared" ca="1" si="0"/>
        <v>41484</v>
      </c>
      <c r="AF4" s="729" t="str">
        <f t="shared" ca="1" si="0"/>
        <v/>
      </c>
      <c r="AG4" s="729" t="str">
        <f t="shared" ca="1" si="0"/>
        <v/>
      </c>
      <c r="AH4" s="729" t="str">
        <f t="shared" ca="1" si="0"/>
        <v/>
      </c>
      <c r="AI4" s="729" t="str">
        <f t="shared" ca="1" si="0"/>
        <v/>
      </c>
      <c r="AJ4" s="729" t="str">
        <f t="shared" ca="1" si="0"/>
        <v/>
      </c>
      <c r="AK4" s="729" t="str">
        <f t="shared" ca="1" si="0"/>
        <v/>
      </c>
      <c r="AL4" s="729">
        <f t="shared" ca="1" si="0"/>
        <v>41491</v>
      </c>
      <c r="AM4" s="729" t="str">
        <f t="shared" ca="1" si="0"/>
        <v/>
      </c>
      <c r="AN4" s="729" t="str">
        <f t="shared" ca="1" si="0"/>
        <v/>
      </c>
      <c r="AO4" s="729" t="str">
        <f t="shared" ca="1" si="0"/>
        <v/>
      </c>
      <c r="AP4" s="729" t="str">
        <f t="shared" ca="1" si="0"/>
        <v/>
      </c>
      <c r="AQ4" s="729" t="str">
        <f t="shared" ca="1" si="0"/>
        <v/>
      </c>
      <c r="AR4" s="729" t="str">
        <f t="shared" ca="1" si="0"/>
        <v/>
      </c>
      <c r="AS4" s="729">
        <f t="shared" ca="1" si="0"/>
        <v>41498</v>
      </c>
      <c r="AT4" s="729" t="str">
        <f t="shared" ca="1" si="0"/>
        <v/>
      </c>
      <c r="AU4" s="729" t="str">
        <f t="shared" ca="1" si="0"/>
        <v/>
      </c>
      <c r="AV4" s="729" t="str">
        <f t="shared" ca="1" si="0"/>
        <v/>
      </c>
      <c r="AW4" s="729" t="str">
        <f t="shared" ca="1" si="0"/>
        <v/>
      </c>
      <c r="AX4" s="729" t="str">
        <f t="shared" ca="1" si="0"/>
        <v/>
      </c>
      <c r="AY4" s="729" t="str">
        <f t="shared" ca="1" si="0"/>
        <v/>
      </c>
      <c r="AZ4" s="729">
        <f t="shared" ca="1" si="0"/>
        <v>41505</v>
      </c>
      <c r="BA4" s="729" t="str">
        <f t="shared" ca="1" si="0"/>
        <v/>
      </c>
      <c r="BB4" s="729" t="str">
        <f t="shared" ca="1" si="0"/>
        <v/>
      </c>
      <c r="BC4" s="729" t="str">
        <f t="shared" ca="1" si="0"/>
        <v/>
      </c>
      <c r="BD4" s="729" t="str">
        <f t="shared" ca="1" si="0"/>
        <v/>
      </c>
      <c r="BE4" s="729" t="str">
        <f t="shared" ca="1" si="0"/>
        <v/>
      </c>
      <c r="BF4" s="729" t="str">
        <f t="shared" ca="1" si="0"/>
        <v/>
      </c>
      <c r="BG4" s="729">
        <f t="shared" ca="1" si="0"/>
        <v>41512</v>
      </c>
      <c r="BH4" s="729" t="str">
        <f t="shared" ca="1" si="0"/>
        <v/>
      </c>
      <c r="BI4" s="729" t="str">
        <f t="shared" ca="1" si="0"/>
        <v/>
      </c>
      <c r="BJ4" s="729" t="str">
        <f t="shared" ca="1" si="0"/>
        <v/>
      </c>
      <c r="BK4" s="729" t="str">
        <f t="shared" ca="1" si="0"/>
        <v/>
      </c>
      <c r="BL4" s="729" t="str">
        <f t="shared" ca="1" si="0"/>
        <v/>
      </c>
      <c r="BM4" s="729" t="str">
        <f t="shared" ca="1" si="0"/>
        <v/>
      </c>
      <c r="BN4" s="729">
        <f t="shared" ca="1" si="0"/>
        <v>41519</v>
      </c>
      <c r="BO4" s="729" t="str">
        <f t="shared" ca="1" si="0"/>
        <v/>
      </c>
      <c r="BP4" s="729" t="str">
        <f t="shared" ca="1" si="0"/>
        <v/>
      </c>
      <c r="BQ4" s="729" t="str">
        <f t="shared" ca="1" si="0"/>
        <v/>
      </c>
      <c r="BR4" s="729" t="str">
        <f t="shared" ca="1" si="0"/>
        <v/>
      </c>
      <c r="BS4" s="729" t="str">
        <f t="shared" ca="1" si="0"/>
        <v/>
      </c>
      <c r="BT4" s="729" t="str">
        <f t="shared" ca="1" si="0"/>
        <v/>
      </c>
      <c r="BU4" s="729">
        <f t="shared" ca="1" si="0"/>
        <v>41526</v>
      </c>
      <c r="BV4" s="729" t="str">
        <f t="shared" ca="1" si="0"/>
        <v/>
      </c>
      <c r="BW4" s="729" t="str">
        <f t="shared" ca="1" si="0"/>
        <v/>
      </c>
      <c r="BX4" s="729" t="str">
        <f t="shared" ref="BX4:EI4" ca="1" si="1">IF(WEEKDAY(BX$6)=2,BX6,"")</f>
        <v/>
      </c>
      <c r="BY4" s="729" t="str">
        <f t="shared" ca="1" si="1"/>
        <v/>
      </c>
      <c r="BZ4" s="729" t="str">
        <f t="shared" ca="1" si="1"/>
        <v/>
      </c>
      <c r="CA4" s="729" t="str">
        <f t="shared" ca="1" si="1"/>
        <v/>
      </c>
      <c r="CB4" s="729">
        <f t="shared" ca="1" si="1"/>
        <v>41533</v>
      </c>
      <c r="CC4" s="729" t="str">
        <f t="shared" ca="1" si="1"/>
        <v/>
      </c>
      <c r="CD4" s="729" t="str">
        <f t="shared" ca="1" si="1"/>
        <v/>
      </c>
      <c r="CE4" s="729" t="str">
        <f t="shared" ca="1" si="1"/>
        <v/>
      </c>
      <c r="CF4" s="729" t="str">
        <f t="shared" ca="1" si="1"/>
        <v/>
      </c>
      <c r="CG4" s="729" t="str">
        <f t="shared" ca="1" si="1"/>
        <v/>
      </c>
      <c r="CH4" s="729" t="str">
        <f t="shared" ca="1" si="1"/>
        <v/>
      </c>
      <c r="CI4" s="729">
        <f t="shared" ca="1" si="1"/>
        <v>41540</v>
      </c>
      <c r="CJ4" s="729" t="str">
        <f t="shared" ca="1" si="1"/>
        <v/>
      </c>
      <c r="CK4" s="729" t="str">
        <f t="shared" ca="1" si="1"/>
        <v/>
      </c>
      <c r="CL4" s="729" t="str">
        <f t="shared" ca="1" si="1"/>
        <v/>
      </c>
      <c r="CM4" s="729" t="str">
        <f t="shared" ca="1" si="1"/>
        <v/>
      </c>
      <c r="CN4" s="729" t="str">
        <f t="shared" ca="1" si="1"/>
        <v/>
      </c>
      <c r="CO4" s="729" t="str">
        <f t="shared" ca="1" si="1"/>
        <v/>
      </c>
      <c r="CP4" s="729">
        <f t="shared" ca="1" si="1"/>
        <v>41547</v>
      </c>
      <c r="CQ4" s="729" t="str">
        <f t="shared" ca="1" si="1"/>
        <v/>
      </c>
      <c r="CR4" s="729" t="str">
        <f t="shared" ca="1" si="1"/>
        <v/>
      </c>
      <c r="CS4" s="729" t="str">
        <f t="shared" ca="1" si="1"/>
        <v/>
      </c>
      <c r="CT4" s="729" t="str">
        <f t="shared" ca="1" si="1"/>
        <v/>
      </c>
      <c r="CU4" s="729" t="str">
        <f t="shared" ca="1" si="1"/>
        <v/>
      </c>
      <c r="CV4" s="729" t="str">
        <f t="shared" ca="1" si="1"/>
        <v/>
      </c>
      <c r="CW4" s="729">
        <f t="shared" ca="1" si="1"/>
        <v>41554</v>
      </c>
      <c r="CX4" s="729" t="str">
        <f t="shared" ca="1" si="1"/>
        <v/>
      </c>
      <c r="CY4" s="729" t="str">
        <f t="shared" ca="1" si="1"/>
        <v/>
      </c>
      <c r="CZ4" s="729" t="str">
        <f t="shared" ca="1" si="1"/>
        <v/>
      </c>
      <c r="DA4" s="729" t="str">
        <f t="shared" ca="1" si="1"/>
        <v/>
      </c>
      <c r="DB4" s="729" t="str">
        <f t="shared" ca="1" si="1"/>
        <v/>
      </c>
      <c r="DC4" s="729" t="str">
        <f t="shared" ca="1" si="1"/>
        <v/>
      </c>
      <c r="DD4" s="729">
        <f t="shared" ca="1" si="1"/>
        <v>41561</v>
      </c>
      <c r="DE4" s="729" t="str">
        <f t="shared" ca="1" si="1"/>
        <v/>
      </c>
      <c r="DF4" s="729" t="str">
        <f t="shared" ca="1" si="1"/>
        <v/>
      </c>
      <c r="DG4" s="729" t="str">
        <f t="shared" ca="1" si="1"/>
        <v/>
      </c>
      <c r="DH4" s="729" t="str">
        <f t="shared" ca="1" si="1"/>
        <v/>
      </c>
      <c r="DI4" s="729" t="str">
        <f t="shared" ca="1" si="1"/>
        <v/>
      </c>
      <c r="DJ4" s="729" t="str">
        <f t="shared" ca="1" si="1"/>
        <v/>
      </c>
      <c r="DK4" s="729">
        <f t="shared" ca="1" si="1"/>
        <v>41568</v>
      </c>
      <c r="DL4" s="729" t="str">
        <f t="shared" ca="1" si="1"/>
        <v/>
      </c>
      <c r="DM4" s="729" t="str">
        <f t="shared" ca="1" si="1"/>
        <v/>
      </c>
      <c r="DN4" s="729" t="str">
        <f t="shared" ca="1" si="1"/>
        <v/>
      </c>
      <c r="DO4" s="729" t="str">
        <f t="shared" ca="1" si="1"/>
        <v/>
      </c>
      <c r="DP4" s="729" t="str">
        <f t="shared" ca="1" si="1"/>
        <v/>
      </c>
      <c r="DQ4" s="729" t="str">
        <f t="shared" ca="1" si="1"/>
        <v/>
      </c>
      <c r="DR4" s="729">
        <f t="shared" ca="1" si="1"/>
        <v>41575</v>
      </c>
      <c r="DS4" s="729" t="str">
        <f t="shared" ca="1" si="1"/>
        <v/>
      </c>
      <c r="DT4" s="729" t="str">
        <f t="shared" ca="1" si="1"/>
        <v/>
      </c>
      <c r="DU4" s="729" t="str">
        <f t="shared" ca="1" si="1"/>
        <v/>
      </c>
      <c r="DV4" s="729" t="str">
        <f t="shared" ca="1" si="1"/>
        <v/>
      </c>
      <c r="DW4" s="729" t="str">
        <f t="shared" ca="1" si="1"/>
        <v/>
      </c>
      <c r="DX4" s="729" t="str">
        <f t="shared" ca="1" si="1"/>
        <v/>
      </c>
      <c r="DY4" s="729">
        <f t="shared" ca="1" si="1"/>
        <v>41582</v>
      </c>
      <c r="DZ4" s="729" t="str">
        <f t="shared" ca="1" si="1"/>
        <v/>
      </c>
      <c r="EA4" s="729" t="str">
        <f t="shared" ca="1" si="1"/>
        <v/>
      </c>
      <c r="EB4" s="729" t="str">
        <f t="shared" ca="1" si="1"/>
        <v/>
      </c>
      <c r="EC4" s="729" t="str">
        <f t="shared" ca="1" si="1"/>
        <v/>
      </c>
      <c r="ED4" s="729" t="str">
        <f t="shared" ca="1" si="1"/>
        <v/>
      </c>
      <c r="EE4" s="729" t="str">
        <f t="shared" ca="1" si="1"/>
        <v/>
      </c>
      <c r="EF4" s="729">
        <f t="shared" ca="1" si="1"/>
        <v>41589</v>
      </c>
      <c r="EG4" s="729" t="str">
        <f t="shared" ca="1" si="1"/>
        <v/>
      </c>
      <c r="EH4" s="729" t="str">
        <f t="shared" ca="1" si="1"/>
        <v/>
      </c>
      <c r="EI4" s="729" t="str">
        <f t="shared" ca="1" si="1"/>
        <v/>
      </c>
      <c r="EJ4" s="729" t="str">
        <f t="shared" ref="EJ4:GU4" ca="1" si="2">IF(WEEKDAY(EJ$6)=2,EJ6,"")</f>
        <v/>
      </c>
      <c r="EK4" s="729" t="str">
        <f t="shared" ca="1" si="2"/>
        <v/>
      </c>
      <c r="EL4" s="729" t="str">
        <f t="shared" ca="1" si="2"/>
        <v/>
      </c>
      <c r="EM4" s="729">
        <f t="shared" ca="1" si="2"/>
        <v>41596</v>
      </c>
      <c r="EN4" s="729" t="str">
        <f t="shared" ca="1" si="2"/>
        <v/>
      </c>
      <c r="EO4" s="729" t="str">
        <f t="shared" ca="1" si="2"/>
        <v/>
      </c>
      <c r="EP4" s="729" t="str">
        <f t="shared" ca="1" si="2"/>
        <v/>
      </c>
      <c r="EQ4" s="729" t="str">
        <f t="shared" ca="1" si="2"/>
        <v/>
      </c>
      <c r="ER4" s="729" t="str">
        <f t="shared" ca="1" si="2"/>
        <v/>
      </c>
      <c r="ES4" s="729" t="str">
        <f t="shared" ca="1" si="2"/>
        <v/>
      </c>
      <c r="ET4" s="729">
        <f t="shared" ca="1" si="2"/>
        <v>41603</v>
      </c>
      <c r="EU4" s="729" t="str">
        <f t="shared" ca="1" si="2"/>
        <v/>
      </c>
      <c r="EV4" s="729" t="str">
        <f t="shared" ca="1" si="2"/>
        <v/>
      </c>
      <c r="EW4" s="729" t="str">
        <f t="shared" ca="1" si="2"/>
        <v/>
      </c>
      <c r="EX4" s="729" t="str">
        <f t="shared" ca="1" si="2"/>
        <v/>
      </c>
      <c r="EY4" s="729" t="str">
        <f t="shared" ca="1" si="2"/>
        <v/>
      </c>
      <c r="EZ4" s="729" t="str">
        <f t="shared" ca="1" si="2"/>
        <v/>
      </c>
      <c r="FA4" s="729">
        <f t="shared" ca="1" si="2"/>
        <v>41610</v>
      </c>
      <c r="FB4" s="729" t="str">
        <f t="shared" ca="1" si="2"/>
        <v/>
      </c>
      <c r="FC4" s="729" t="str">
        <f t="shared" ca="1" si="2"/>
        <v/>
      </c>
      <c r="FD4" s="729" t="str">
        <f t="shared" ca="1" si="2"/>
        <v/>
      </c>
      <c r="FE4" s="729" t="str">
        <f t="shared" ca="1" si="2"/>
        <v/>
      </c>
      <c r="FF4" s="729" t="str">
        <f t="shared" ca="1" si="2"/>
        <v/>
      </c>
      <c r="FG4" s="729" t="str">
        <f t="shared" ca="1" si="2"/>
        <v/>
      </c>
      <c r="FH4" s="729">
        <f t="shared" ca="1" si="2"/>
        <v>41617</v>
      </c>
      <c r="FI4" s="729" t="str">
        <f t="shared" ca="1" si="2"/>
        <v/>
      </c>
      <c r="FJ4" s="729" t="str">
        <f t="shared" ca="1" si="2"/>
        <v/>
      </c>
      <c r="FK4" s="729" t="str">
        <f t="shared" ca="1" si="2"/>
        <v/>
      </c>
      <c r="FL4" s="729" t="str">
        <f t="shared" ca="1" si="2"/>
        <v/>
      </c>
      <c r="FM4" s="729" t="str">
        <f t="shared" ca="1" si="2"/>
        <v/>
      </c>
      <c r="FN4" s="729" t="str">
        <f t="shared" ca="1" si="2"/>
        <v/>
      </c>
      <c r="FO4" s="729">
        <f t="shared" ca="1" si="2"/>
        <v>41624</v>
      </c>
      <c r="FP4" s="729" t="str">
        <f t="shared" ca="1" si="2"/>
        <v/>
      </c>
      <c r="FQ4" s="729" t="str">
        <f t="shared" ca="1" si="2"/>
        <v/>
      </c>
      <c r="FR4" s="729" t="str">
        <f t="shared" ca="1" si="2"/>
        <v/>
      </c>
      <c r="FS4" s="729" t="str">
        <f t="shared" ca="1" si="2"/>
        <v/>
      </c>
      <c r="FT4" s="729" t="str">
        <f t="shared" ca="1" si="2"/>
        <v/>
      </c>
      <c r="FU4" s="729" t="str">
        <f t="shared" ca="1" si="2"/>
        <v/>
      </c>
      <c r="FV4" s="729">
        <f t="shared" ca="1" si="2"/>
        <v>41631</v>
      </c>
      <c r="FW4" s="729" t="str">
        <f t="shared" ca="1" si="2"/>
        <v/>
      </c>
      <c r="FX4" s="729" t="str">
        <f t="shared" ca="1" si="2"/>
        <v/>
      </c>
      <c r="FY4" s="729" t="str">
        <f t="shared" ca="1" si="2"/>
        <v/>
      </c>
      <c r="FZ4" s="729" t="str">
        <f t="shared" ca="1" si="2"/>
        <v/>
      </c>
      <c r="GA4" s="729" t="str">
        <f t="shared" ca="1" si="2"/>
        <v/>
      </c>
      <c r="GB4" s="729" t="str">
        <f t="shared" ca="1" si="2"/>
        <v/>
      </c>
      <c r="GC4" s="729">
        <f t="shared" ca="1" si="2"/>
        <v>41638</v>
      </c>
      <c r="GD4" s="729" t="str">
        <f t="shared" ca="1" si="2"/>
        <v/>
      </c>
      <c r="GE4" s="729" t="str">
        <f t="shared" ca="1" si="2"/>
        <v/>
      </c>
      <c r="GF4" s="729" t="str">
        <f t="shared" ca="1" si="2"/>
        <v/>
      </c>
      <c r="GG4" s="729" t="str">
        <f t="shared" ca="1" si="2"/>
        <v/>
      </c>
      <c r="GH4" s="729" t="str">
        <f t="shared" ca="1" si="2"/>
        <v/>
      </c>
      <c r="GI4" s="729" t="str">
        <f t="shared" ca="1" si="2"/>
        <v/>
      </c>
      <c r="GJ4" s="729">
        <f t="shared" ca="1" si="2"/>
        <v>41645</v>
      </c>
      <c r="GK4" s="729" t="str">
        <f t="shared" ca="1" si="2"/>
        <v/>
      </c>
      <c r="GL4" s="729" t="str">
        <f t="shared" ca="1" si="2"/>
        <v/>
      </c>
      <c r="GM4" s="729" t="str">
        <f t="shared" ca="1" si="2"/>
        <v/>
      </c>
      <c r="GN4" s="729" t="str">
        <f t="shared" ca="1" si="2"/>
        <v/>
      </c>
      <c r="GO4" s="729" t="str">
        <f t="shared" ca="1" si="2"/>
        <v/>
      </c>
      <c r="GP4" s="729" t="str">
        <f t="shared" ca="1" si="2"/>
        <v/>
      </c>
      <c r="GQ4" s="729">
        <f t="shared" ca="1" si="2"/>
        <v>41652</v>
      </c>
      <c r="GR4" s="729" t="str">
        <f t="shared" ca="1" si="2"/>
        <v/>
      </c>
      <c r="GS4" s="729" t="str">
        <f t="shared" ca="1" si="2"/>
        <v/>
      </c>
      <c r="GT4" s="729" t="str">
        <f t="shared" ca="1" si="2"/>
        <v/>
      </c>
      <c r="GU4" s="729" t="str">
        <f t="shared" ca="1" si="2"/>
        <v/>
      </c>
      <c r="GV4" s="729" t="str">
        <f t="shared" ref="GV4:JG4" ca="1" si="3">IF(WEEKDAY(GV$6)=2,GV6,"")</f>
        <v/>
      </c>
      <c r="GW4" s="729" t="str">
        <f t="shared" ca="1" si="3"/>
        <v/>
      </c>
      <c r="GX4" s="729">
        <f t="shared" ca="1" si="3"/>
        <v>41659</v>
      </c>
      <c r="GY4" s="729" t="str">
        <f t="shared" ca="1" si="3"/>
        <v/>
      </c>
      <c r="GZ4" s="729" t="str">
        <f t="shared" ca="1" si="3"/>
        <v/>
      </c>
      <c r="HA4" s="729" t="str">
        <f t="shared" ca="1" si="3"/>
        <v/>
      </c>
      <c r="HB4" s="729" t="str">
        <f t="shared" ca="1" si="3"/>
        <v/>
      </c>
      <c r="HC4" s="729" t="str">
        <f t="shared" ca="1" si="3"/>
        <v/>
      </c>
      <c r="HD4" s="729" t="str">
        <f t="shared" ca="1" si="3"/>
        <v/>
      </c>
      <c r="HE4" s="729">
        <f t="shared" ca="1" si="3"/>
        <v>41666</v>
      </c>
      <c r="HF4" s="729" t="str">
        <f t="shared" ca="1" si="3"/>
        <v/>
      </c>
      <c r="HG4" s="729" t="str">
        <f t="shared" ca="1" si="3"/>
        <v/>
      </c>
      <c r="HH4" s="729" t="str">
        <f t="shared" ca="1" si="3"/>
        <v/>
      </c>
      <c r="HI4" s="729" t="str">
        <f t="shared" ca="1" si="3"/>
        <v/>
      </c>
      <c r="HJ4" s="729" t="str">
        <f t="shared" ca="1" si="3"/>
        <v/>
      </c>
      <c r="HK4" s="729" t="str">
        <f t="shared" ca="1" si="3"/>
        <v/>
      </c>
      <c r="HL4" s="729">
        <f t="shared" ca="1" si="3"/>
        <v>41673</v>
      </c>
      <c r="HM4" s="729" t="str">
        <f t="shared" ca="1" si="3"/>
        <v/>
      </c>
      <c r="HN4" s="729" t="str">
        <f t="shared" ca="1" si="3"/>
        <v/>
      </c>
      <c r="HO4" s="729" t="str">
        <f t="shared" ca="1" si="3"/>
        <v/>
      </c>
      <c r="HP4" s="729" t="str">
        <f t="shared" ca="1" si="3"/>
        <v/>
      </c>
      <c r="HQ4" s="729" t="str">
        <f t="shared" ca="1" si="3"/>
        <v/>
      </c>
      <c r="HR4" s="729" t="str">
        <f t="shared" ca="1" si="3"/>
        <v/>
      </c>
      <c r="HS4" s="729">
        <f t="shared" ca="1" si="3"/>
        <v>41680</v>
      </c>
      <c r="HT4" s="729" t="str">
        <f t="shared" ca="1" si="3"/>
        <v/>
      </c>
      <c r="HU4" s="729" t="str">
        <f t="shared" ca="1" si="3"/>
        <v/>
      </c>
      <c r="HV4" s="729" t="str">
        <f t="shared" ca="1" si="3"/>
        <v/>
      </c>
      <c r="HW4" s="729" t="str">
        <f t="shared" ca="1" si="3"/>
        <v/>
      </c>
      <c r="HX4" s="729" t="str">
        <f t="shared" ca="1" si="3"/>
        <v/>
      </c>
      <c r="HY4" s="729" t="str">
        <f t="shared" ca="1" si="3"/>
        <v/>
      </c>
      <c r="HZ4" s="729">
        <f t="shared" ca="1" si="3"/>
        <v>41687</v>
      </c>
      <c r="IA4" s="729" t="str">
        <f t="shared" ca="1" si="3"/>
        <v/>
      </c>
      <c r="IB4" s="729" t="str">
        <f t="shared" ca="1" si="3"/>
        <v/>
      </c>
      <c r="IC4" s="729" t="str">
        <f t="shared" ca="1" si="3"/>
        <v/>
      </c>
      <c r="ID4" s="729" t="str">
        <f t="shared" ca="1" si="3"/>
        <v/>
      </c>
      <c r="IE4" s="729" t="str">
        <f t="shared" ca="1" si="3"/>
        <v/>
      </c>
      <c r="IF4" s="729" t="str">
        <f t="shared" ca="1" si="3"/>
        <v/>
      </c>
      <c r="IG4" s="729">
        <f t="shared" ca="1" si="3"/>
        <v>41694</v>
      </c>
      <c r="IH4" s="729" t="str">
        <f t="shared" ca="1" si="3"/>
        <v/>
      </c>
      <c r="II4" s="729" t="str">
        <f t="shared" ca="1" si="3"/>
        <v/>
      </c>
      <c r="IJ4" s="729" t="str">
        <f t="shared" ca="1" si="3"/>
        <v/>
      </c>
      <c r="IK4" s="729" t="str">
        <f t="shared" ca="1" si="3"/>
        <v/>
      </c>
      <c r="IL4" s="729" t="str">
        <f t="shared" ca="1" si="3"/>
        <v/>
      </c>
      <c r="IM4" s="729" t="str">
        <f t="shared" ca="1" si="3"/>
        <v/>
      </c>
      <c r="IN4" s="729">
        <f t="shared" ca="1" si="3"/>
        <v>41701</v>
      </c>
      <c r="IO4" s="729" t="str">
        <f t="shared" ca="1" si="3"/>
        <v/>
      </c>
      <c r="IP4" s="729" t="str">
        <f t="shared" ca="1" si="3"/>
        <v/>
      </c>
      <c r="IQ4" s="729" t="str">
        <f t="shared" ca="1" si="3"/>
        <v/>
      </c>
      <c r="IR4" s="729" t="str">
        <f t="shared" ca="1" si="3"/>
        <v/>
      </c>
      <c r="IS4" s="729" t="str">
        <f t="shared" ca="1" si="3"/>
        <v/>
      </c>
      <c r="IT4" s="729" t="str">
        <f t="shared" ca="1" si="3"/>
        <v/>
      </c>
      <c r="IU4" s="729">
        <f t="shared" ca="1" si="3"/>
        <v>41708</v>
      </c>
      <c r="IV4" s="729" t="str">
        <f t="shared" ca="1" si="3"/>
        <v/>
      </c>
      <c r="IW4" s="729" t="str">
        <f t="shared" ca="1" si="3"/>
        <v/>
      </c>
      <c r="IX4" s="729" t="str">
        <f t="shared" ca="1" si="3"/>
        <v/>
      </c>
      <c r="IY4" s="729" t="str">
        <f t="shared" ca="1" si="3"/>
        <v/>
      </c>
      <c r="IZ4" s="729" t="str">
        <f t="shared" ca="1" si="3"/>
        <v/>
      </c>
      <c r="JA4" s="729" t="str">
        <f t="shared" ca="1" si="3"/>
        <v/>
      </c>
      <c r="JB4" s="729">
        <f t="shared" ca="1" si="3"/>
        <v>41715</v>
      </c>
      <c r="JC4" s="729" t="str">
        <f t="shared" ca="1" si="3"/>
        <v/>
      </c>
      <c r="JD4" s="729" t="str">
        <f t="shared" ca="1" si="3"/>
        <v/>
      </c>
      <c r="JE4" s="729" t="str">
        <f t="shared" ca="1" si="3"/>
        <v/>
      </c>
      <c r="JF4" s="729" t="str">
        <f t="shared" ca="1" si="3"/>
        <v/>
      </c>
      <c r="JG4" s="729" t="str">
        <f t="shared" ca="1" si="3"/>
        <v/>
      </c>
      <c r="JH4" s="729" t="str">
        <f t="shared" ref="JH4:LS4" ca="1" si="4">IF(WEEKDAY(JH$6)=2,JH6,"")</f>
        <v/>
      </c>
      <c r="JI4" s="729">
        <f t="shared" ca="1" si="4"/>
        <v>41722</v>
      </c>
      <c r="JJ4" s="729" t="str">
        <f t="shared" ca="1" si="4"/>
        <v/>
      </c>
      <c r="JK4" s="729" t="str">
        <f t="shared" ca="1" si="4"/>
        <v/>
      </c>
      <c r="JL4" s="729" t="str">
        <f t="shared" ca="1" si="4"/>
        <v/>
      </c>
      <c r="JM4" s="729" t="str">
        <f t="shared" ca="1" si="4"/>
        <v/>
      </c>
      <c r="JN4" s="729" t="str">
        <f t="shared" ca="1" si="4"/>
        <v/>
      </c>
      <c r="JO4" s="729" t="str">
        <f t="shared" ca="1" si="4"/>
        <v/>
      </c>
      <c r="JP4" s="729">
        <f t="shared" ca="1" si="4"/>
        <v>41729</v>
      </c>
      <c r="JQ4" s="729" t="str">
        <f t="shared" ca="1" si="4"/>
        <v/>
      </c>
      <c r="JR4" s="729" t="str">
        <f t="shared" ca="1" si="4"/>
        <v/>
      </c>
      <c r="JS4" s="729" t="str">
        <f t="shared" ca="1" si="4"/>
        <v/>
      </c>
      <c r="JT4" s="729" t="str">
        <f t="shared" ca="1" si="4"/>
        <v/>
      </c>
      <c r="JU4" s="729" t="str">
        <f t="shared" ca="1" si="4"/>
        <v/>
      </c>
      <c r="JV4" s="729" t="str">
        <f t="shared" ca="1" si="4"/>
        <v/>
      </c>
      <c r="JW4" s="729">
        <f t="shared" ca="1" si="4"/>
        <v>41736</v>
      </c>
      <c r="JX4" s="729" t="str">
        <f t="shared" ca="1" si="4"/>
        <v/>
      </c>
      <c r="JY4" s="729" t="str">
        <f t="shared" ca="1" si="4"/>
        <v/>
      </c>
      <c r="JZ4" s="729" t="str">
        <f t="shared" ca="1" si="4"/>
        <v/>
      </c>
      <c r="KA4" s="729" t="str">
        <f t="shared" ca="1" si="4"/>
        <v/>
      </c>
      <c r="KB4" s="729" t="str">
        <f t="shared" ca="1" si="4"/>
        <v/>
      </c>
      <c r="KC4" s="729" t="str">
        <f t="shared" ca="1" si="4"/>
        <v/>
      </c>
      <c r="KD4" s="729">
        <f t="shared" ca="1" si="4"/>
        <v>41743</v>
      </c>
      <c r="KE4" s="729" t="str">
        <f t="shared" ca="1" si="4"/>
        <v/>
      </c>
      <c r="KF4" s="729" t="str">
        <f t="shared" ca="1" si="4"/>
        <v/>
      </c>
      <c r="KG4" s="729" t="str">
        <f t="shared" ca="1" si="4"/>
        <v/>
      </c>
      <c r="KH4" s="729" t="str">
        <f t="shared" ca="1" si="4"/>
        <v/>
      </c>
      <c r="KI4" s="729" t="str">
        <f t="shared" ca="1" si="4"/>
        <v/>
      </c>
      <c r="KJ4" s="729" t="str">
        <f t="shared" ca="1" si="4"/>
        <v/>
      </c>
      <c r="KK4" s="729">
        <f t="shared" ca="1" si="4"/>
        <v>41750</v>
      </c>
      <c r="KL4" s="729" t="str">
        <f t="shared" ca="1" si="4"/>
        <v/>
      </c>
      <c r="KM4" s="729" t="str">
        <f t="shared" ca="1" si="4"/>
        <v/>
      </c>
      <c r="KN4" s="729" t="str">
        <f t="shared" ca="1" si="4"/>
        <v/>
      </c>
      <c r="KO4" s="729" t="str">
        <f t="shared" ca="1" si="4"/>
        <v/>
      </c>
      <c r="KP4" s="729" t="str">
        <f t="shared" ca="1" si="4"/>
        <v/>
      </c>
      <c r="KQ4" s="729" t="str">
        <f t="shared" ca="1" si="4"/>
        <v/>
      </c>
      <c r="KR4" s="729">
        <f t="shared" ca="1" si="4"/>
        <v>41757</v>
      </c>
      <c r="KS4" s="729" t="str">
        <f t="shared" ca="1" si="4"/>
        <v/>
      </c>
      <c r="KT4" s="729" t="str">
        <f t="shared" ca="1" si="4"/>
        <v/>
      </c>
      <c r="KU4" s="729" t="str">
        <f t="shared" ca="1" si="4"/>
        <v/>
      </c>
      <c r="KV4" s="729" t="str">
        <f t="shared" ca="1" si="4"/>
        <v/>
      </c>
      <c r="KW4" s="729" t="str">
        <f t="shared" ca="1" si="4"/>
        <v/>
      </c>
      <c r="KX4" s="729" t="str">
        <f t="shared" ca="1" si="4"/>
        <v/>
      </c>
      <c r="KY4" s="729">
        <f t="shared" ca="1" si="4"/>
        <v>41764</v>
      </c>
      <c r="KZ4" s="729" t="str">
        <f t="shared" ca="1" si="4"/>
        <v/>
      </c>
      <c r="LA4" s="729" t="str">
        <f t="shared" ca="1" si="4"/>
        <v/>
      </c>
      <c r="LB4" s="729" t="str">
        <f t="shared" ca="1" si="4"/>
        <v/>
      </c>
      <c r="LC4" s="729" t="str">
        <f t="shared" ca="1" si="4"/>
        <v/>
      </c>
      <c r="LD4" s="729" t="str">
        <f t="shared" ca="1" si="4"/>
        <v/>
      </c>
      <c r="LE4" s="729" t="str">
        <f t="shared" ca="1" si="4"/>
        <v/>
      </c>
      <c r="LF4" s="729">
        <f t="shared" ca="1" si="4"/>
        <v>41771</v>
      </c>
      <c r="LG4" s="729" t="str">
        <f t="shared" ca="1" si="4"/>
        <v/>
      </c>
      <c r="LH4" s="729" t="str">
        <f t="shared" ca="1" si="4"/>
        <v/>
      </c>
      <c r="LI4" s="729" t="str">
        <f t="shared" ca="1" si="4"/>
        <v/>
      </c>
      <c r="LJ4" s="729" t="str">
        <f t="shared" ca="1" si="4"/>
        <v/>
      </c>
      <c r="LK4" s="729" t="str">
        <f t="shared" ca="1" si="4"/>
        <v/>
      </c>
      <c r="LL4" s="729" t="str">
        <f t="shared" ca="1" si="4"/>
        <v/>
      </c>
      <c r="LM4" s="729">
        <f t="shared" ca="1" si="4"/>
        <v>41778</v>
      </c>
      <c r="LN4" s="729" t="str">
        <f t="shared" ca="1" si="4"/>
        <v/>
      </c>
      <c r="LO4" s="729" t="str">
        <f t="shared" ca="1" si="4"/>
        <v/>
      </c>
      <c r="LP4" s="729" t="str">
        <f t="shared" ca="1" si="4"/>
        <v/>
      </c>
      <c r="LQ4" s="729" t="str">
        <f t="shared" ca="1" si="4"/>
        <v/>
      </c>
      <c r="LR4" s="729" t="str">
        <f t="shared" ca="1" si="4"/>
        <v/>
      </c>
      <c r="LS4" s="729" t="str">
        <f t="shared" ca="1" si="4"/>
        <v/>
      </c>
      <c r="LT4" s="729">
        <f t="shared" ref="LT4:OE4" ca="1" si="5">IF(WEEKDAY(LT$6)=2,LT6,"")</f>
        <v>41785</v>
      </c>
      <c r="LU4" s="729" t="str">
        <f t="shared" ca="1" si="5"/>
        <v/>
      </c>
      <c r="LV4" s="729" t="str">
        <f t="shared" ca="1" si="5"/>
        <v/>
      </c>
      <c r="LW4" s="729" t="str">
        <f t="shared" ca="1" si="5"/>
        <v/>
      </c>
      <c r="LX4" s="729" t="str">
        <f t="shared" ca="1" si="5"/>
        <v/>
      </c>
      <c r="LY4" s="729" t="str">
        <f t="shared" ca="1" si="5"/>
        <v/>
      </c>
      <c r="LZ4" s="729" t="str">
        <f t="shared" ca="1" si="5"/>
        <v/>
      </c>
      <c r="MA4" s="729">
        <f t="shared" ca="1" si="5"/>
        <v>41792</v>
      </c>
      <c r="MB4" s="729" t="str">
        <f t="shared" ca="1" si="5"/>
        <v/>
      </c>
      <c r="MC4" s="729" t="str">
        <f t="shared" ca="1" si="5"/>
        <v/>
      </c>
      <c r="MD4" s="729" t="str">
        <f t="shared" ca="1" si="5"/>
        <v/>
      </c>
      <c r="ME4" s="729" t="str">
        <f t="shared" ca="1" si="5"/>
        <v/>
      </c>
      <c r="MF4" s="729" t="str">
        <f t="shared" ca="1" si="5"/>
        <v/>
      </c>
      <c r="MG4" s="729" t="str">
        <f t="shared" ca="1" si="5"/>
        <v/>
      </c>
      <c r="MH4" s="729">
        <f t="shared" ca="1" si="5"/>
        <v>41799</v>
      </c>
      <c r="MI4" s="729" t="str">
        <f t="shared" ca="1" si="5"/>
        <v/>
      </c>
      <c r="MJ4" s="729" t="str">
        <f t="shared" ca="1" si="5"/>
        <v/>
      </c>
      <c r="MK4" s="729" t="str">
        <f t="shared" ca="1" si="5"/>
        <v/>
      </c>
      <c r="ML4" s="729" t="str">
        <f t="shared" ca="1" si="5"/>
        <v/>
      </c>
      <c r="MM4" s="729" t="str">
        <f t="shared" ca="1" si="5"/>
        <v/>
      </c>
      <c r="MN4" s="729" t="str">
        <f t="shared" ca="1" si="5"/>
        <v/>
      </c>
      <c r="MO4" s="729">
        <f t="shared" ca="1" si="5"/>
        <v>41806</v>
      </c>
      <c r="MP4" s="729" t="str">
        <f t="shared" ca="1" si="5"/>
        <v/>
      </c>
      <c r="MQ4" s="729" t="str">
        <f t="shared" ca="1" si="5"/>
        <v/>
      </c>
      <c r="MR4" s="729" t="str">
        <f t="shared" ca="1" si="5"/>
        <v/>
      </c>
      <c r="MS4" s="729" t="str">
        <f t="shared" ca="1" si="5"/>
        <v/>
      </c>
      <c r="MT4" s="729" t="str">
        <f t="shared" ca="1" si="5"/>
        <v/>
      </c>
      <c r="MU4" s="729" t="str">
        <f t="shared" ca="1" si="5"/>
        <v/>
      </c>
      <c r="MV4" s="729">
        <f t="shared" ca="1" si="5"/>
        <v>41813</v>
      </c>
      <c r="MW4" s="729" t="str">
        <f t="shared" ca="1" si="5"/>
        <v/>
      </c>
      <c r="MX4" s="729" t="str">
        <f t="shared" ca="1" si="5"/>
        <v/>
      </c>
      <c r="MY4" s="729" t="str">
        <f t="shared" ca="1" si="5"/>
        <v/>
      </c>
      <c r="MZ4" s="729" t="str">
        <f t="shared" ca="1" si="5"/>
        <v/>
      </c>
      <c r="NA4" s="729" t="str">
        <f t="shared" ca="1" si="5"/>
        <v/>
      </c>
      <c r="NB4" s="729" t="str">
        <f t="shared" ca="1" si="5"/>
        <v/>
      </c>
      <c r="NC4" s="729">
        <f t="shared" ca="1" si="5"/>
        <v>41820</v>
      </c>
      <c r="ND4" s="729" t="str">
        <f t="shared" ca="1" si="5"/>
        <v/>
      </c>
      <c r="NE4" s="729" t="str">
        <f t="shared" ca="1" si="5"/>
        <v/>
      </c>
      <c r="NF4" s="729" t="str">
        <f t="shared" ca="1" si="5"/>
        <v/>
      </c>
      <c r="NG4" s="729" t="str">
        <f t="shared" ca="1" si="5"/>
        <v/>
      </c>
      <c r="NH4" s="729" t="str">
        <f t="shared" ca="1" si="5"/>
        <v/>
      </c>
      <c r="NI4" s="729" t="str">
        <f t="shared" ca="1" si="5"/>
        <v/>
      </c>
      <c r="NJ4" s="729">
        <f t="shared" ca="1" si="5"/>
        <v>41827</v>
      </c>
      <c r="NK4" s="729" t="str">
        <f t="shared" ca="1" si="5"/>
        <v/>
      </c>
      <c r="NL4" s="729" t="str">
        <f t="shared" ca="1" si="5"/>
        <v/>
      </c>
      <c r="NM4" s="729" t="str">
        <f t="shared" ca="1" si="5"/>
        <v/>
      </c>
      <c r="NN4" s="729" t="str">
        <f t="shared" ca="1" si="5"/>
        <v/>
      </c>
      <c r="NO4" s="729" t="str">
        <f t="shared" ca="1" si="5"/>
        <v/>
      </c>
      <c r="NP4" s="729" t="str">
        <f t="shared" ca="1" si="5"/>
        <v/>
      </c>
      <c r="NQ4" s="729">
        <f t="shared" ca="1" si="5"/>
        <v>41834</v>
      </c>
      <c r="NR4" s="729" t="str">
        <f t="shared" ca="1" si="5"/>
        <v/>
      </c>
      <c r="NS4" s="729" t="str">
        <f t="shared" ca="1" si="5"/>
        <v/>
      </c>
      <c r="NT4" s="729" t="str">
        <f t="shared" ca="1" si="5"/>
        <v/>
      </c>
      <c r="NU4" s="729" t="str">
        <f t="shared" ca="1" si="5"/>
        <v/>
      </c>
      <c r="NV4" s="729" t="str">
        <f t="shared" ca="1" si="5"/>
        <v/>
      </c>
      <c r="NW4" s="729" t="str">
        <f t="shared" ca="1" si="5"/>
        <v/>
      </c>
      <c r="NX4" s="729">
        <f t="shared" ca="1" si="5"/>
        <v>41841</v>
      </c>
      <c r="NY4" s="729" t="str">
        <f t="shared" ca="1" si="5"/>
        <v/>
      </c>
      <c r="NZ4" s="729" t="str">
        <f t="shared" ca="1" si="5"/>
        <v/>
      </c>
      <c r="OA4" s="729" t="str">
        <f t="shared" ca="1" si="5"/>
        <v/>
      </c>
      <c r="OB4" s="729" t="str">
        <f t="shared" ca="1" si="5"/>
        <v/>
      </c>
      <c r="OC4" s="729" t="str">
        <f t="shared" ca="1" si="5"/>
        <v/>
      </c>
      <c r="OD4" s="729" t="str">
        <f t="shared" ca="1" si="5"/>
        <v/>
      </c>
      <c r="OE4" s="729">
        <f t="shared" ca="1" si="5"/>
        <v>41848</v>
      </c>
      <c r="OF4" s="729" t="str">
        <f t="shared" ref="OF4:QQ4" ca="1" si="6">IF(WEEKDAY(OF$6)=2,OF6,"")</f>
        <v/>
      </c>
      <c r="OG4" s="729" t="str">
        <f t="shared" ca="1" si="6"/>
        <v/>
      </c>
      <c r="OH4" s="729" t="str">
        <f t="shared" ca="1" si="6"/>
        <v/>
      </c>
      <c r="OI4" s="729" t="str">
        <f t="shared" ca="1" si="6"/>
        <v/>
      </c>
      <c r="OJ4" s="729" t="str">
        <f t="shared" ca="1" si="6"/>
        <v/>
      </c>
      <c r="OK4" s="729" t="str">
        <f t="shared" ca="1" si="6"/>
        <v/>
      </c>
      <c r="OL4" s="729">
        <f t="shared" ca="1" si="6"/>
        <v>41855</v>
      </c>
      <c r="OM4" s="729" t="str">
        <f t="shared" ca="1" si="6"/>
        <v/>
      </c>
      <c r="ON4" s="729" t="str">
        <f t="shared" ca="1" si="6"/>
        <v/>
      </c>
      <c r="OO4" s="729" t="str">
        <f t="shared" ca="1" si="6"/>
        <v/>
      </c>
      <c r="OP4" s="729" t="str">
        <f t="shared" ca="1" si="6"/>
        <v/>
      </c>
      <c r="OQ4" s="729" t="str">
        <f t="shared" ca="1" si="6"/>
        <v/>
      </c>
      <c r="OR4" s="729" t="str">
        <f t="shared" ca="1" si="6"/>
        <v/>
      </c>
      <c r="OS4" s="729">
        <f t="shared" ca="1" si="6"/>
        <v>41862</v>
      </c>
      <c r="OT4" s="729" t="str">
        <f t="shared" ca="1" si="6"/>
        <v/>
      </c>
      <c r="OU4" s="729" t="str">
        <f t="shared" ca="1" si="6"/>
        <v/>
      </c>
      <c r="OV4" s="729" t="str">
        <f t="shared" ca="1" si="6"/>
        <v/>
      </c>
      <c r="OW4" s="729" t="str">
        <f t="shared" ca="1" si="6"/>
        <v/>
      </c>
      <c r="OX4" s="729" t="str">
        <f t="shared" ca="1" si="6"/>
        <v/>
      </c>
      <c r="OY4" s="729" t="str">
        <f t="shared" ca="1" si="6"/>
        <v/>
      </c>
      <c r="OZ4" s="729">
        <f t="shared" ca="1" si="6"/>
        <v>41869</v>
      </c>
      <c r="PA4" s="729" t="str">
        <f t="shared" ca="1" si="6"/>
        <v/>
      </c>
      <c r="PB4" s="729" t="str">
        <f t="shared" ca="1" si="6"/>
        <v/>
      </c>
      <c r="PC4" s="729" t="str">
        <f t="shared" ca="1" si="6"/>
        <v/>
      </c>
      <c r="PD4" s="729" t="str">
        <f t="shared" ca="1" si="6"/>
        <v/>
      </c>
      <c r="PE4" s="729" t="str">
        <f t="shared" ca="1" si="6"/>
        <v/>
      </c>
      <c r="PF4" s="729" t="str">
        <f t="shared" ca="1" si="6"/>
        <v/>
      </c>
      <c r="PG4" s="729">
        <f t="shared" ca="1" si="6"/>
        <v>41876</v>
      </c>
      <c r="PH4" s="729" t="str">
        <f t="shared" ca="1" si="6"/>
        <v/>
      </c>
      <c r="PI4" s="729" t="str">
        <f t="shared" ca="1" si="6"/>
        <v/>
      </c>
      <c r="PJ4" s="729" t="str">
        <f t="shared" ca="1" si="6"/>
        <v/>
      </c>
      <c r="PK4" s="729" t="str">
        <f t="shared" ca="1" si="6"/>
        <v/>
      </c>
      <c r="PL4" s="729" t="str">
        <f t="shared" ca="1" si="6"/>
        <v/>
      </c>
      <c r="PM4" s="729" t="str">
        <f t="shared" ca="1" si="6"/>
        <v/>
      </c>
      <c r="PN4" s="729">
        <f t="shared" ca="1" si="6"/>
        <v>41883</v>
      </c>
      <c r="PO4" s="729" t="str">
        <f t="shared" ca="1" si="6"/>
        <v/>
      </c>
      <c r="PP4" s="729" t="str">
        <f t="shared" ca="1" si="6"/>
        <v/>
      </c>
      <c r="PQ4" s="729" t="str">
        <f t="shared" ca="1" si="6"/>
        <v/>
      </c>
      <c r="PR4" s="729" t="str">
        <f t="shared" ca="1" si="6"/>
        <v/>
      </c>
      <c r="PS4" s="729" t="str">
        <f t="shared" ca="1" si="6"/>
        <v/>
      </c>
      <c r="PT4" s="729" t="str">
        <f t="shared" ca="1" si="6"/>
        <v/>
      </c>
      <c r="PU4" s="729">
        <f t="shared" ca="1" si="6"/>
        <v>41890</v>
      </c>
      <c r="PV4" s="729" t="str">
        <f t="shared" ca="1" si="6"/>
        <v/>
      </c>
      <c r="PW4" s="729" t="str">
        <f t="shared" ca="1" si="6"/>
        <v/>
      </c>
      <c r="PX4" s="729" t="str">
        <f t="shared" ca="1" si="6"/>
        <v/>
      </c>
      <c r="PY4" s="729" t="str">
        <f t="shared" ca="1" si="6"/>
        <v/>
      </c>
      <c r="PZ4" s="729" t="str">
        <f t="shared" ca="1" si="6"/>
        <v/>
      </c>
      <c r="QA4" s="729" t="str">
        <f t="shared" ca="1" si="6"/>
        <v/>
      </c>
      <c r="QB4" s="729">
        <f t="shared" ca="1" si="6"/>
        <v>41897</v>
      </c>
      <c r="QC4" s="729" t="str">
        <f t="shared" ca="1" si="6"/>
        <v/>
      </c>
      <c r="QD4" s="729" t="str">
        <f t="shared" ca="1" si="6"/>
        <v/>
      </c>
      <c r="QE4" s="729" t="str">
        <f t="shared" ca="1" si="6"/>
        <v/>
      </c>
      <c r="QF4" s="729" t="str">
        <f t="shared" ca="1" si="6"/>
        <v/>
      </c>
      <c r="QG4" s="729" t="str">
        <f t="shared" ca="1" si="6"/>
        <v/>
      </c>
      <c r="QH4" s="729" t="str">
        <f t="shared" ca="1" si="6"/>
        <v/>
      </c>
      <c r="QI4" s="729">
        <f t="shared" ca="1" si="6"/>
        <v>41904</v>
      </c>
      <c r="QJ4" s="729" t="str">
        <f t="shared" ca="1" si="6"/>
        <v/>
      </c>
      <c r="QK4" s="729" t="str">
        <f t="shared" ca="1" si="6"/>
        <v/>
      </c>
      <c r="QL4" s="729" t="str">
        <f t="shared" ca="1" si="6"/>
        <v/>
      </c>
      <c r="QM4" s="729" t="str">
        <f t="shared" ca="1" si="6"/>
        <v/>
      </c>
      <c r="QN4" s="729" t="str">
        <f t="shared" ca="1" si="6"/>
        <v/>
      </c>
      <c r="QO4" s="729" t="str">
        <f t="shared" ca="1" si="6"/>
        <v/>
      </c>
      <c r="QP4" s="729">
        <f t="shared" ca="1" si="6"/>
        <v>41911</v>
      </c>
      <c r="QQ4" s="729" t="str">
        <f t="shared" ca="1" si="6"/>
        <v/>
      </c>
      <c r="QR4" s="729" t="str">
        <f t="shared" ref="QR4:TC4" ca="1" si="7">IF(WEEKDAY(QR$6)=2,QR6,"")</f>
        <v/>
      </c>
      <c r="QS4" s="729" t="str">
        <f t="shared" ca="1" si="7"/>
        <v/>
      </c>
      <c r="QT4" s="729" t="str">
        <f t="shared" ca="1" si="7"/>
        <v/>
      </c>
      <c r="QU4" s="729" t="str">
        <f t="shared" ca="1" si="7"/>
        <v/>
      </c>
      <c r="QV4" s="729" t="str">
        <f t="shared" ca="1" si="7"/>
        <v/>
      </c>
      <c r="QW4" s="729">
        <f t="shared" ca="1" si="7"/>
        <v>41918</v>
      </c>
      <c r="QX4" s="729" t="str">
        <f t="shared" ca="1" si="7"/>
        <v/>
      </c>
      <c r="QY4" s="729" t="str">
        <f t="shared" ca="1" si="7"/>
        <v/>
      </c>
      <c r="QZ4" s="729" t="str">
        <f t="shared" ca="1" si="7"/>
        <v/>
      </c>
      <c r="RA4" s="729" t="str">
        <f t="shared" ca="1" si="7"/>
        <v/>
      </c>
      <c r="RB4" s="729" t="str">
        <f t="shared" ca="1" si="7"/>
        <v/>
      </c>
      <c r="RC4" s="729" t="str">
        <f t="shared" ca="1" si="7"/>
        <v/>
      </c>
      <c r="RD4" s="729">
        <f t="shared" ca="1" si="7"/>
        <v>41925</v>
      </c>
      <c r="RE4" s="729" t="str">
        <f t="shared" ca="1" si="7"/>
        <v/>
      </c>
      <c r="RF4" s="729" t="str">
        <f t="shared" ca="1" si="7"/>
        <v/>
      </c>
      <c r="RG4" s="729" t="str">
        <f t="shared" ca="1" si="7"/>
        <v/>
      </c>
      <c r="RH4" s="729" t="str">
        <f t="shared" ca="1" si="7"/>
        <v/>
      </c>
      <c r="RI4" s="729" t="str">
        <f t="shared" ca="1" si="7"/>
        <v/>
      </c>
      <c r="RJ4" s="729" t="str">
        <f t="shared" ca="1" si="7"/>
        <v/>
      </c>
      <c r="RK4" s="729">
        <f t="shared" ca="1" si="7"/>
        <v>41932</v>
      </c>
      <c r="RL4" s="729" t="str">
        <f t="shared" ca="1" si="7"/>
        <v/>
      </c>
      <c r="RM4" s="729" t="str">
        <f t="shared" ca="1" si="7"/>
        <v/>
      </c>
      <c r="RN4" s="729" t="str">
        <f t="shared" ca="1" si="7"/>
        <v/>
      </c>
      <c r="RO4" s="729" t="str">
        <f t="shared" ca="1" si="7"/>
        <v/>
      </c>
      <c r="RP4" s="729" t="str">
        <f t="shared" ca="1" si="7"/>
        <v/>
      </c>
      <c r="RQ4" s="729" t="str">
        <f t="shared" ca="1" si="7"/>
        <v/>
      </c>
      <c r="RR4" s="729">
        <f t="shared" ca="1" si="7"/>
        <v>41939</v>
      </c>
      <c r="RS4" s="729" t="str">
        <f t="shared" ca="1" si="7"/>
        <v/>
      </c>
      <c r="RT4" s="729" t="str">
        <f t="shared" ca="1" si="7"/>
        <v/>
      </c>
      <c r="RU4" s="729" t="str">
        <f t="shared" ca="1" si="7"/>
        <v/>
      </c>
      <c r="RV4" s="729" t="str">
        <f t="shared" ca="1" si="7"/>
        <v/>
      </c>
      <c r="RW4" s="729" t="str">
        <f t="shared" ca="1" si="7"/>
        <v/>
      </c>
      <c r="RX4" s="729" t="str">
        <f t="shared" ca="1" si="7"/>
        <v/>
      </c>
      <c r="RY4" s="729">
        <f t="shared" ca="1" si="7"/>
        <v>41946</v>
      </c>
      <c r="RZ4" s="729" t="str">
        <f t="shared" ca="1" si="7"/>
        <v/>
      </c>
      <c r="SA4" s="729" t="str">
        <f t="shared" ca="1" si="7"/>
        <v/>
      </c>
      <c r="SB4" s="729" t="str">
        <f t="shared" ca="1" si="7"/>
        <v/>
      </c>
      <c r="SC4" s="729" t="str">
        <f t="shared" ca="1" si="7"/>
        <v/>
      </c>
      <c r="SD4" s="729" t="str">
        <f t="shared" ca="1" si="7"/>
        <v/>
      </c>
      <c r="SE4" s="729" t="str">
        <f t="shared" ca="1" si="7"/>
        <v/>
      </c>
      <c r="SF4" s="729">
        <f t="shared" ca="1" si="7"/>
        <v>41953</v>
      </c>
      <c r="SG4" s="729" t="str">
        <f t="shared" ca="1" si="7"/>
        <v/>
      </c>
      <c r="SH4" s="729" t="str">
        <f t="shared" ca="1" si="7"/>
        <v/>
      </c>
      <c r="SI4" s="729" t="str">
        <f t="shared" ca="1" si="7"/>
        <v/>
      </c>
      <c r="SJ4" s="729" t="str">
        <f t="shared" ca="1" si="7"/>
        <v/>
      </c>
      <c r="SK4" s="729" t="str">
        <f t="shared" ca="1" si="7"/>
        <v/>
      </c>
      <c r="SL4" s="729" t="str">
        <f t="shared" ca="1" si="7"/>
        <v/>
      </c>
      <c r="SM4" s="729">
        <f t="shared" ca="1" si="7"/>
        <v>41960</v>
      </c>
      <c r="SN4" s="729" t="str">
        <f t="shared" ca="1" si="7"/>
        <v/>
      </c>
      <c r="SO4" s="729" t="str">
        <f t="shared" ca="1" si="7"/>
        <v/>
      </c>
      <c r="SP4" s="729" t="str">
        <f t="shared" ca="1" si="7"/>
        <v/>
      </c>
      <c r="SQ4" s="729" t="str">
        <f t="shared" ca="1" si="7"/>
        <v/>
      </c>
      <c r="SR4" s="729" t="str">
        <f t="shared" ca="1" si="7"/>
        <v/>
      </c>
      <c r="SS4" s="729" t="str">
        <f t="shared" ca="1" si="7"/>
        <v/>
      </c>
      <c r="ST4" s="729">
        <f t="shared" ca="1" si="7"/>
        <v>41967</v>
      </c>
      <c r="SU4" s="729" t="str">
        <f t="shared" ca="1" si="7"/>
        <v/>
      </c>
      <c r="SV4" s="729" t="str">
        <f t="shared" ca="1" si="7"/>
        <v/>
      </c>
      <c r="SW4" s="729" t="str">
        <f t="shared" ca="1" si="7"/>
        <v/>
      </c>
      <c r="SX4" s="729" t="str">
        <f t="shared" ca="1" si="7"/>
        <v/>
      </c>
      <c r="SY4" s="729" t="str">
        <f t="shared" ca="1" si="7"/>
        <v/>
      </c>
      <c r="SZ4" s="729" t="str">
        <f t="shared" ca="1" si="7"/>
        <v/>
      </c>
      <c r="TA4" s="729">
        <f t="shared" ca="1" si="7"/>
        <v>41974</v>
      </c>
      <c r="TB4" s="729" t="str">
        <f t="shared" ca="1" si="7"/>
        <v/>
      </c>
      <c r="TC4" s="729" t="str">
        <f t="shared" ca="1" si="7"/>
        <v/>
      </c>
      <c r="TD4" s="729" t="str">
        <f t="shared" ref="TD4:VO4" ca="1" si="8">IF(WEEKDAY(TD$6)=2,TD6,"")</f>
        <v/>
      </c>
      <c r="TE4" s="729" t="str">
        <f t="shared" ca="1" si="8"/>
        <v/>
      </c>
      <c r="TF4" s="729" t="str">
        <f t="shared" ca="1" si="8"/>
        <v/>
      </c>
      <c r="TG4" s="729" t="str">
        <f t="shared" ca="1" si="8"/>
        <v/>
      </c>
      <c r="TH4" s="729">
        <f t="shared" ca="1" si="8"/>
        <v>41981</v>
      </c>
      <c r="TI4" s="729" t="str">
        <f t="shared" ca="1" si="8"/>
        <v/>
      </c>
      <c r="TJ4" s="729" t="str">
        <f t="shared" ca="1" si="8"/>
        <v/>
      </c>
      <c r="TK4" s="729" t="str">
        <f t="shared" ca="1" si="8"/>
        <v/>
      </c>
      <c r="TL4" s="729" t="str">
        <f t="shared" ca="1" si="8"/>
        <v/>
      </c>
      <c r="TM4" s="729" t="str">
        <f t="shared" ca="1" si="8"/>
        <v/>
      </c>
      <c r="TN4" s="729" t="str">
        <f t="shared" ca="1" si="8"/>
        <v/>
      </c>
      <c r="TO4" s="729">
        <f t="shared" ca="1" si="8"/>
        <v>41988</v>
      </c>
      <c r="TP4" s="729" t="str">
        <f t="shared" ca="1" si="8"/>
        <v/>
      </c>
      <c r="TQ4" s="729" t="str">
        <f t="shared" ca="1" si="8"/>
        <v/>
      </c>
      <c r="TR4" s="729" t="str">
        <f t="shared" ca="1" si="8"/>
        <v/>
      </c>
      <c r="TS4" s="729" t="str">
        <f t="shared" ca="1" si="8"/>
        <v/>
      </c>
      <c r="TT4" s="729" t="str">
        <f t="shared" ca="1" si="8"/>
        <v/>
      </c>
      <c r="TU4" s="729" t="str">
        <f t="shared" ca="1" si="8"/>
        <v/>
      </c>
      <c r="TV4" s="729">
        <f t="shared" ca="1" si="8"/>
        <v>41995</v>
      </c>
      <c r="TW4" s="729" t="str">
        <f t="shared" ca="1" si="8"/>
        <v/>
      </c>
      <c r="TX4" s="729" t="str">
        <f t="shared" ca="1" si="8"/>
        <v/>
      </c>
      <c r="TY4" s="729" t="str">
        <f t="shared" ca="1" si="8"/>
        <v/>
      </c>
      <c r="TZ4" s="729" t="str">
        <f t="shared" ca="1" si="8"/>
        <v/>
      </c>
      <c r="UA4" s="729" t="str">
        <f t="shared" ca="1" si="8"/>
        <v/>
      </c>
      <c r="UB4" s="729" t="str">
        <f t="shared" ca="1" si="8"/>
        <v/>
      </c>
      <c r="UC4" s="729">
        <f t="shared" ca="1" si="8"/>
        <v>42002</v>
      </c>
      <c r="UD4" s="729" t="str">
        <f t="shared" ca="1" si="8"/>
        <v/>
      </c>
      <c r="UE4" s="729" t="str">
        <f t="shared" ca="1" si="8"/>
        <v/>
      </c>
      <c r="UF4" s="729" t="str">
        <f t="shared" ca="1" si="8"/>
        <v/>
      </c>
      <c r="UG4" s="729" t="str">
        <f t="shared" ca="1" si="8"/>
        <v/>
      </c>
      <c r="UH4" s="729" t="str">
        <f t="shared" ca="1" si="8"/>
        <v/>
      </c>
      <c r="UI4" s="729" t="str">
        <f t="shared" ca="1" si="8"/>
        <v/>
      </c>
      <c r="UJ4" s="729">
        <f t="shared" ca="1" si="8"/>
        <v>42009</v>
      </c>
      <c r="UK4" s="729" t="str">
        <f t="shared" ca="1" si="8"/>
        <v/>
      </c>
      <c r="UL4" s="729" t="str">
        <f t="shared" ca="1" si="8"/>
        <v/>
      </c>
      <c r="UM4" s="729" t="str">
        <f t="shared" ca="1" si="8"/>
        <v/>
      </c>
      <c r="UN4" s="729" t="str">
        <f t="shared" ca="1" si="8"/>
        <v/>
      </c>
      <c r="UO4" s="729" t="str">
        <f t="shared" ca="1" si="8"/>
        <v/>
      </c>
      <c r="UP4" s="729" t="str">
        <f t="shared" ca="1" si="8"/>
        <v/>
      </c>
      <c r="UQ4" s="729">
        <f t="shared" ca="1" si="8"/>
        <v>42016</v>
      </c>
      <c r="UR4" s="729" t="str">
        <f t="shared" ca="1" si="8"/>
        <v/>
      </c>
      <c r="US4" s="729" t="str">
        <f t="shared" ca="1" si="8"/>
        <v/>
      </c>
      <c r="UT4" s="729" t="str">
        <f t="shared" ca="1" si="8"/>
        <v/>
      </c>
      <c r="UU4" s="729" t="str">
        <f t="shared" ca="1" si="8"/>
        <v/>
      </c>
      <c r="UV4" s="729" t="str">
        <f t="shared" ca="1" si="8"/>
        <v/>
      </c>
      <c r="UW4" s="729" t="str">
        <f t="shared" ca="1" si="8"/>
        <v/>
      </c>
      <c r="UX4" s="729">
        <f t="shared" ca="1" si="8"/>
        <v>42023</v>
      </c>
      <c r="UY4" s="729" t="str">
        <f t="shared" ca="1" si="8"/>
        <v/>
      </c>
      <c r="UZ4" s="729" t="str">
        <f t="shared" ca="1" si="8"/>
        <v/>
      </c>
      <c r="VA4" s="729" t="str">
        <f t="shared" ca="1" si="8"/>
        <v/>
      </c>
      <c r="VB4" s="729" t="str">
        <f t="shared" ca="1" si="8"/>
        <v/>
      </c>
      <c r="VC4" s="729" t="str">
        <f t="shared" ca="1" si="8"/>
        <v/>
      </c>
      <c r="VD4" s="729" t="str">
        <f t="shared" ca="1" si="8"/>
        <v/>
      </c>
      <c r="VE4" s="729">
        <f t="shared" ca="1" si="8"/>
        <v>42030</v>
      </c>
      <c r="VF4" s="729" t="str">
        <f t="shared" ca="1" si="8"/>
        <v/>
      </c>
      <c r="VG4" s="729" t="str">
        <f t="shared" ca="1" si="8"/>
        <v/>
      </c>
      <c r="VH4" s="729" t="str">
        <f t="shared" ca="1" si="8"/>
        <v/>
      </c>
      <c r="VI4" s="729" t="str">
        <f t="shared" ca="1" si="8"/>
        <v/>
      </c>
      <c r="VJ4" s="729" t="str">
        <f t="shared" ca="1" si="8"/>
        <v/>
      </c>
      <c r="VK4" s="729" t="str">
        <f t="shared" ca="1" si="8"/>
        <v/>
      </c>
      <c r="VL4" s="729">
        <f t="shared" ca="1" si="8"/>
        <v>42037</v>
      </c>
      <c r="VM4" s="729" t="str">
        <f t="shared" ca="1" si="8"/>
        <v/>
      </c>
      <c r="VN4" s="729" t="str">
        <f t="shared" ca="1" si="8"/>
        <v/>
      </c>
      <c r="VO4" s="729" t="str">
        <f t="shared" ca="1" si="8"/>
        <v/>
      </c>
      <c r="VP4" s="729" t="str">
        <f t="shared" ref="VP4:YA4" ca="1" si="9">IF(WEEKDAY(VP$6)=2,VP6,"")</f>
        <v/>
      </c>
      <c r="VQ4" s="729" t="str">
        <f t="shared" ca="1" si="9"/>
        <v/>
      </c>
      <c r="VR4" s="729" t="str">
        <f t="shared" ca="1" si="9"/>
        <v/>
      </c>
      <c r="VS4" s="729">
        <f t="shared" ca="1" si="9"/>
        <v>42044</v>
      </c>
      <c r="VT4" s="729" t="str">
        <f t="shared" ca="1" si="9"/>
        <v/>
      </c>
      <c r="VU4" s="729" t="str">
        <f t="shared" ca="1" si="9"/>
        <v/>
      </c>
      <c r="VV4" s="729" t="str">
        <f t="shared" ca="1" si="9"/>
        <v/>
      </c>
      <c r="VW4" s="729" t="str">
        <f t="shared" ca="1" si="9"/>
        <v/>
      </c>
      <c r="VX4" s="729" t="str">
        <f t="shared" ca="1" si="9"/>
        <v/>
      </c>
      <c r="VY4" s="729" t="str">
        <f t="shared" ca="1" si="9"/>
        <v/>
      </c>
      <c r="VZ4" s="729">
        <f t="shared" ca="1" si="9"/>
        <v>42051</v>
      </c>
      <c r="WA4" s="729" t="str">
        <f t="shared" ca="1" si="9"/>
        <v/>
      </c>
      <c r="WB4" s="729" t="str">
        <f t="shared" ca="1" si="9"/>
        <v/>
      </c>
      <c r="WC4" s="729" t="str">
        <f t="shared" ca="1" si="9"/>
        <v/>
      </c>
      <c r="WD4" s="729" t="str">
        <f t="shared" ca="1" si="9"/>
        <v/>
      </c>
      <c r="WE4" s="729" t="str">
        <f t="shared" ca="1" si="9"/>
        <v/>
      </c>
      <c r="WF4" s="729" t="str">
        <f t="shared" ca="1" si="9"/>
        <v/>
      </c>
      <c r="WG4" s="729">
        <f t="shared" ca="1" si="9"/>
        <v>42058</v>
      </c>
      <c r="WH4" s="729" t="str">
        <f t="shared" ca="1" si="9"/>
        <v/>
      </c>
      <c r="WI4" s="729" t="str">
        <f t="shared" ca="1" si="9"/>
        <v/>
      </c>
      <c r="WJ4" s="729" t="str">
        <f t="shared" ca="1" si="9"/>
        <v/>
      </c>
      <c r="WK4" s="729" t="str">
        <f t="shared" ca="1" si="9"/>
        <v/>
      </c>
      <c r="WL4" s="729" t="str">
        <f t="shared" ca="1" si="9"/>
        <v/>
      </c>
      <c r="WM4" s="729" t="str">
        <f t="shared" ca="1" si="9"/>
        <v/>
      </c>
      <c r="WN4" s="729">
        <f t="shared" ca="1" si="9"/>
        <v>42065</v>
      </c>
      <c r="WO4" s="729" t="str">
        <f t="shared" ca="1" si="9"/>
        <v/>
      </c>
      <c r="WP4" s="729" t="str">
        <f t="shared" ca="1" si="9"/>
        <v/>
      </c>
      <c r="WQ4" s="729" t="str">
        <f t="shared" ca="1" si="9"/>
        <v/>
      </c>
      <c r="WR4" s="729" t="str">
        <f t="shared" ca="1" si="9"/>
        <v/>
      </c>
      <c r="WS4" s="729" t="str">
        <f t="shared" ca="1" si="9"/>
        <v/>
      </c>
      <c r="WT4" s="729" t="str">
        <f t="shared" ca="1" si="9"/>
        <v/>
      </c>
      <c r="WU4" s="729">
        <f t="shared" ca="1" si="9"/>
        <v>42072</v>
      </c>
      <c r="WV4" s="729" t="str">
        <f t="shared" ca="1" si="9"/>
        <v/>
      </c>
      <c r="WW4" s="729" t="str">
        <f t="shared" ca="1" si="9"/>
        <v/>
      </c>
      <c r="WX4" s="729" t="str">
        <f t="shared" ca="1" si="9"/>
        <v/>
      </c>
      <c r="WY4" s="729" t="str">
        <f t="shared" ca="1" si="9"/>
        <v/>
      </c>
      <c r="WZ4" s="729" t="str">
        <f t="shared" ca="1" si="9"/>
        <v/>
      </c>
      <c r="XA4" s="729" t="str">
        <f t="shared" ca="1" si="9"/>
        <v/>
      </c>
      <c r="XB4" s="729">
        <f t="shared" ca="1" si="9"/>
        <v>42079</v>
      </c>
      <c r="XC4" s="729" t="str">
        <f t="shared" ca="1" si="9"/>
        <v/>
      </c>
      <c r="XD4" s="729" t="str">
        <f t="shared" ca="1" si="9"/>
        <v/>
      </c>
      <c r="XE4" s="729" t="str">
        <f t="shared" ca="1" si="9"/>
        <v/>
      </c>
      <c r="XF4" s="729" t="str">
        <f t="shared" ca="1" si="9"/>
        <v/>
      </c>
      <c r="XG4" s="729" t="str">
        <f t="shared" ca="1" si="9"/>
        <v/>
      </c>
      <c r="XH4" s="729" t="str">
        <f t="shared" ca="1" si="9"/>
        <v/>
      </c>
      <c r="XI4" s="729">
        <f t="shared" ca="1" si="9"/>
        <v>42086</v>
      </c>
      <c r="XJ4" s="729" t="str">
        <f t="shared" ca="1" si="9"/>
        <v/>
      </c>
      <c r="XK4" s="729" t="str">
        <f t="shared" ca="1" si="9"/>
        <v/>
      </c>
      <c r="XL4" s="729" t="str">
        <f t="shared" ca="1" si="9"/>
        <v/>
      </c>
      <c r="XM4" s="729" t="str">
        <f t="shared" ca="1" si="9"/>
        <v/>
      </c>
      <c r="XN4" s="729" t="str">
        <f t="shared" ca="1" si="9"/>
        <v/>
      </c>
      <c r="XO4" s="729" t="str">
        <f t="shared" ca="1" si="9"/>
        <v/>
      </c>
      <c r="XP4" s="729">
        <f t="shared" ca="1" si="9"/>
        <v>42093</v>
      </c>
      <c r="XQ4" s="729" t="str">
        <f t="shared" ca="1" si="9"/>
        <v/>
      </c>
      <c r="XR4" s="729" t="str">
        <f t="shared" ca="1" si="9"/>
        <v/>
      </c>
      <c r="XS4" s="729" t="str">
        <f t="shared" ca="1" si="9"/>
        <v/>
      </c>
      <c r="XT4" s="729" t="str">
        <f t="shared" ca="1" si="9"/>
        <v/>
      </c>
      <c r="XU4" s="729" t="str">
        <f t="shared" ca="1" si="9"/>
        <v/>
      </c>
      <c r="XV4" s="729" t="str">
        <f t="shared" ca="1" si="9"/>
        <v/>
      </c>
      <c r="XW4" s="729">
        <f t="shared" ca="1" si="9"/>
        <v>42100</v>
      </c>
      <c r="XX4" s="729" t="str">
        <f t="shared" ca="1" si="9"/>
        <v/>
      </c>
      <c r="XY4" s="729" t="str">
        <f t="shared" ca="1" si="9"/>
        <v/>
      </c>
      <c r="XZ4" s="729" t="str">
        <f t="shared" ca="1" si="9"/>
        <v/>
      </c>
      <c r="YA4" s="729" t="str">
        <f t="shared" ca="1" si="9"/>
        <v/>
      </c>
      <c r="YB4" s="729" t="str">
        <f t="shared" ref="YB4:ZZ4" ca="1" si="10">IF(WEEKDAY(YB$6)=2,YB6,"")</f>
        <v/>
      </c>
      <c r="YC4" s="729" t="str">
        <f t="shared" ca="1" si="10"/>
        <v/>
      </c>
      <c r="YD4" s="729">
        <f t="shared" ca="1" si="10"/>
        <v>42107</v>
      </c>
      <c r="YE4" s="729" t="str">
        <f t="shared" ca="1" si="10"/>
        <v/>
      </c>
      <c r="YF4" s="729" t="str">
        <f t="shared" ca="1" si="10"/>
        <v/>
      </c>
      <c r="YG4" s="729" t="str">
        <f t="shared" ca="1" si="10"/>
        <v/>
      </c>
      <c r="YH4" s="729" t="str">
        <f t="shared" ca="1" si="10"/>
        <v/>
      </c>
      <c r="YI4" s="729" t="str">
        <f t="shared" ca="1" si="10"/>
        <v/>
      </c>
      <c r="YJ4" s="729" t="str">
        <f t="shared" ca="1" si="10"/>
        <v/>
      </c>
      <c r="YK4" s="729">
        <f t="shared" ca="1" si="10"/>
        <v>42114</v>
      </c>
      <c r="YL4" s="729" t="str">
        <f t="shared" ca="1" si="10"/>
        <v/>
      </c>
      <c r="YM4" s="729" t="str">
        <f t="shared" ca="1" si="10"/>
        <v/>
      </c>
      <c r="YN4" s="729" t="str">
        <f t="shared" ca="1" si="10"/>
        <v/>
      </c>
      <c r="YO4" s="729" t="str">
        <f t="shared" ca="1" si="10"/>
        <v/>
      </c>
      <c r="YP4" s="729" t="str">
        <f t="shared" ca="1" si="10"/>
        <v/>
      </c>
      <c r="YQ4" s="729" t="str">
        <f t="shared" ca="1" si="10"/>
        <v/>
      </c>
      <c r="YR4" s="729">
        <f t="shared" ca="1" si="10"/>
        <v>42121</v>
      </c>
      <c r="YS4" s="729" t="str">
        <f t="shared" ca="1" si="10"/>
        <v/>
      </c>
      <c r="YT4" s="729" t="str">
        <f t="shared" ca="1" si="10"/>
        <v/>
      </c>
      <c r="YU4" s="729" t="str">
        <f t="shared" ca="1" si="10"/>
        <v/>
      </c>
      <c r="YV4" s="729" t="str">
        <f t="shared" ca="1" si="10"/>
        <v/>
      </c>
      <c r="YW4" s="729" t="str">
        <f t="shared" ca="1" si="10"/>
        <v/>
      </c>
      <c r="YX4" s="729" t="str">
        <f t="shared" ca="1" si="10"/>
        <v/>
      </c>
      <c r="YY4" s="729">
        <f t="shared" ca="1" si="10"/>
        <v>42128</v>
      </c>
      <c r="YZ4" s="729" t="str">
        <f t="shared" ca="1" si="10"/>
        <v/>
      </c>
      <c r="ZA4" s="729" t="str">
        <f t="shared" ca="1" si="10"/>
        <v/>
      </c>
      <c r="ZB4" s="729" t="str">
        <f t="shared" ca="1" si="10"/>
        <v/>
      </c>
      <c r="ZC4" s="729" t="str">
        <f t="shared" ca="1" si="10"/>
        <v/>
      </c>
      <c r="ZD4" s="729" t="str">
        <f t="shared" ca="1" si="10"/>
        <v/>
      </c>
      <c r="ZE4" s="729" t="str">
        <f t="shared" ca="1" si="10"/>
        <v/>
      </c>
      <c r="ZF4" s="729">
        <f t="shared" ca="1" si="10"/>
        <v>42135</v>
      </c>
      <c r="ZG4" s="729" t="str">
        <f t="shared" ca="1" si="10"/>
        <v/>
      </c>
      <c r="ZH4" s="729" t="str">
        <f t="shared" ca="1" si="10"/>
        <v/>
      </c>
      <c r="ZI4" s="729" t="str">
        <f t="shared" ca="1" si="10"/>
        <v/>
      </c>
      <c r="ZJ4" s="729" t="str">
        <f t="shared" ca="1" si="10"/>
        <v/>
      </c>
      <c r="ZK4" s="729" t="str">
        <f t="shared" ca="1" si="10"/>
        <v/>
      </c>
      <c r="ZL4" s="729" t="str">
        <f t="shared" ca="1" si="10"/>
        <v/>
      </c>
      <c r="ZM4" s="729">
        <f t="shared" ca="1" si="10"/>
        <v>42142</v>
      </c>
      <c r="ZN4" s="729" t="str">
        <f t="shared" ca="1" si="10"/>
        <v/>
      </c>
      <c r="ZO4" s="729" t="str">
        <f t="shared" ca="1" si="10"/>
        <v/>
      </c>
      <c r="ZP4" s="729" t="str">
        <f t="shared" ca="1" si="10"/>
        <v/>
      </c>
      <c r="ZQ4" s="729" t="str">
        <f t="shared" ca="1" si="10"/>
        <v/>
      </c>
      <c r="ZR4" s="729" t="str">
        <f t="shared" ca="1" si="10"/>
        <v/>
      </c>
      <c r="ZS4" s="729" t="str">
        <f t="shared" ca="1" si="10"/>
        <v/>
      </c>
      <c r="ZT4" s="729">
        <f t="shared" ca="1" si="10"/>
        <v>42149</v>
      </c>
      <c r="ZU4" s="729" t="str">
        <f t="shared" ca="1" si="10"/>
        <v/>
      </c>
      <c r="ZV4" s="729" t="str">
        <f t="shared" ca="1" si="10"/>
        <v/>
      </c>
      <c r="ZW4" s="729" t="str">
        <f t="shared" ca="1" si="10"/>
        <v/>
      </c>
      <c r="ZX4" s="729" t="str">
        <f t="shared" ca="1" si="10"/>
        <v/>
      </c>
      <c r="ZY4" s="729" t="str">
        <f t="shared" ca="1" si="10"/>
        <v/>
      </c>
      <c r="ZZ4" s="729" t="str">
        <f t="shared" ca="1" si="10"/>
        <v/>
      </c>
      <c r="AAA4" s="588"/>
      <c r="AAD4" s="112"/>
      <c r="AAE4" s="551" t="s">
        <v>29</v>
      </c>
      <c r="AAF4" s="583" t="s">
        <v>185</v>
      </c>
      <c r="AAG4" s="77"/>
      <c r="AAH4" s="78">
        <f>WORKDAY(S.RuleEffective+44,1,S.DDL_DEQClosed)</f>
        <v>41610</v>
      </c>
      <c r="AAI4" s="63"/>
      <c r="AAJ4" s="508" t="s">
        <v>256</v>
      </c>
      <c r="AAK4" s="508"/>
      <c r="AAL4" s="65"/>
      <c r="AAM4" s="112"/>
      <c r="AAN4"/>
      <c r="AAP4" s="23" t="s">
        <v>0</v>
      </c>
      <c r="AAT4" s="23"/>
      <c r="AAU4" s="44"/>
    </row>
    <row r="5" spans="1:745" s="23" customFormat="1" ht="29.25" customHeight="1">
      <c r="A5" s="558"/>
      <c r="B5" s="317"/>
      <c r="C5" s="687"/>
      <c r="D5" s="205"/>
      <c r="E5" s="540" t="s">
        <v>193</v>
      </c>
      <c r="F5" s="235" t="s">
        <v>297</v>
      </c>
      <c r="G5" s="221" t="s">
        <v>261</v>
      </c>
      <c r="H5" s="221" t="s">
        <v>90</v>
      </c>
      <c r="I5" s="598"/>
      <c r="J5" s="609">
        <f ca="1">J6</f>
        <v>41463</v>
      </c>
      <c r="K5" s="609" t="str">
        <f ca="1">IF(WEEKDAY(K$6)=2,K6,"")</f>
        <v/>
      </c>
      <c r="L5" s="609" t="str">
        <f t="shared" ref="L5:R5" ca="1" si="11">IF(WEEKDAY(L$6)=2,L6,"")</f>
        <v/>
      </c>
      <c r="M5" s="609" t="str">
        <f t="shared" ca="1" si="11"/>
        <v/>
      </c>
      <c r="N5" s="609" t="str">
        <f t="shared" ca="1" si="11"/>
        <v/>
      </c>
      <c r="O5" s="609" t="str">
        <f t="shared" ca="1" si="11"/>
        <v/>
      </c>
      <c r="P5" s="609" t="str">
        <f t="shared" ca="1" si="11"/>
        <v/>
      </c>
      <c r="Q5" s="609">
        <f t="shared" ca="1" si="11"/>
        <v>41470</v>
      </c>
      <c r="R5" s="609" t="str">
        <f t="shared" ca="1" si="11"/>
        <v/>
      </c>
      <c r="S5" s="609" t="str">
        <f t="shared" ref="S5" ca="1" si="12">IF(WEEKDAY(S$6)=2,S6,"")</f>
        <v/>
      </c>
      <c r="T5" s="609" t="str">
        <f t="shared" ref="T5" ca="1" si="13">IF(WEEKDAY(T$6)=2,T6,"")</f>
        <v/>
      </c>
      <c r="U5" s="609" t="str">
        <f t="shared" ref="U5" ca="1" si="14">IF(WEEKDAY(U$6)=2,U6,"")</f>
        <v/>
      </c>
      <c r="V5" s="609" t="str">
        <f t="shared" ref="V5" ca="1" si="15">IF(WEEKDAY(V$6)=2,V6,"")</f>
        <v/>
      </c>
      <c r="W5" s="609" t="str">
        <f t="shared" ref="W5" ca="1" si="16">IF(WEEKDAY(W$6)=2,W6,"")</f>
        <v/>
      </c>
      <c r="X5" s="609">
        <f t="shared" ref="X5:Y5" ca="1" si="17">IF(WEEKDAY(X$6)=2,X6,"")</f>
        <v>41477</v>
      </c>
      <c r="Y5" s="609" t="str">
        <f t="shared" ca="1" si="17"/>
        <v/>
      </c>
      <c r="Z5" s="609" t="str">
        <f t="shared" ref="Z5" ca="1" si="18">IF(WEEKDAY(Z$6)=2,Z6,"")</f>
        <v/>
      </c>
      <c r="AA5" s="609" t="str">
        <f t="shared" ref="AA5" ca="1" si="19">IF(WEEKDAY(AA$6)=2,AA6,"")</f>
        <v/>
      </c>
      <c r="AB5" s="609" t="str">
        <f t="shared" ref="AB5" ca="1" si="20">IF(WEEKDAY(AB$6)=2,AB6,"")</f>
        <v/>
      </c>
      <c r="AC5" s="609" t="str">
        <f t="shared" ref="AC5" ca="1" si="21">IF(WEEKDAY(AC$6)=2,AC6,"")</f>
        <v/>
      </c>
      <c r="AD5" s="609" t="str">
        <f t="shared" ref="AD5" ca="1" si="22">IF(WEEKDAY(AD$6)=2,AD6,"")</f>
        <v/>
      </c>
      <c r="AE5" s="609">
        <f t="shared" ref="AE5:AF5" ca="1" si="23">IF(WEEKDAY(AE$6)=2,AE6,"")</f>
        <v>41484</v>
      </c>
      <c r="AF5" s="609" t="str">
        <f t="shared" ca="1" si="23"/>
        <v/>
      </c>
      <c r="AG5" s="609" t="str">
        <f t="shared" ref="AG5" ca="1" si="24">IF(WEEKDAY(AG$6)=2,AG6,"")</f>
        <v/>
      </c>
      <c r="AH5" s="609" t="str">
        <f t="shared" ref="AH5" ca="1" si="25">IF(WEEKDAY(AH$6)=2,AH6,"")</f>
        <v/>
      </c>
      <c r="AI5" s="609" t="str">
        <f t="shared" ref="AI5" ca="1" si="26">IF(WEEKDAY(AI$6)=2,AI6,"")</f>
        <v/>
      </c>
      <c r="AJ5" s="609" t="str">
        <f t="shared" ref="AJ5" ca="1" si="27">IF(WEEKDAY(AJ$6)=2,AJ6,"")</f>
        <v/>
      </c>
      <c r="AK5" s="609" t="str">
        <f t="shared" ref="AK5" ca="1" si="28">IF(WEEKDAY(AK$6)=2,AK6,"")</f>
        <v/>
      </c>
      <c r="AL5" s="609">
        <f t="shared" ref="AL5" ca="1" si="29">IF(WEEKDAY(AL$6)=2,AL6,"")</f>
        <v>41491</v>
      </c>
      <c r="AM5" s="609" t="str">
        <f t="shared" ref="AM5" ca="1" si="30">IF(WEEKDAY(AM$6)=2,AM6,"")</f>
        <v/>
      </c>
      <c r="AN5" s="609" t="str">
        <f t="shared" ref="AN5" ca="1" si="31">IF(WEEKDAY(AN$6)=2,AN6,"")</f>
        <v/>
      </c>
      <c r="AO5" s="609" t="str">
        <f t="shared" ref="AO5" ca="1" si="32">IF(WEEKDAY(AO$6)=2,AO6,"")</f>
        <v/>
      </c>
      <c r="AP5" s="609" t="str">
        <f t="shared" ref="AP5" ca="1" si="33">IF(WEEKDAY(AP$6)=2,AP6,"")</f>
        <v/>
      </c>
      <c r="AQ5" s="609" t="str">
        <f t="shared" ref="AQ5" ca="1" si="34">IF(WEEKDAY(AQ$6)=2,AQ6,"")</f>
        <v/>
      </c>
      <c r="AR5" s="609" t="str">
        <f t="shared" ref="AR5" ca="1" si="35">IF(WEEKDAY(AR$6)=2,AR6,"")</f>
        <v/>
      </c>
      <c r="AS5" s="609">
        <f t="shared" ref="AS5" ca="1" si="36">IF(WEEKDAY(AS$6)=2,AS6,"")</f>
        <v>41498</v>
      </c>
      <c r="AT5" s="609" t="str">
        <f t="shared" ref="AT5" ca="1" si="37">IF(WEEKDAY(AT$6)=2,AT6,"")</f>
        <v/>
      </c>
      <c r="AU5" s="609" t="str">
        <f t="shared" ref="AU5" ca="1" si="38">IF(WEEKDAY(AU$6)=2,AU6,"")</f>
        <v/>
      </c>
      <c r="AV5" s="609" t="str">
        <f t="shared" ref="AV5" ca="1" si="39">IF(WEEKDAY(AV$6)=2,AV6,"")</f>
        <v/>
      </c>
      <c r="AW5" s="609" t="str">
        <f t="shared" ref="AW5" ca="1" si="40">IF(WEEKDAY(AW$6)=2,AW6,"")</f>
        <v/>
      </c>
      <c r="AX5" s="609" t="str">
        <f t="shared" ref="AX5" ca="1" si="41">IF(WEEKDAY(AX$6)=2,AX6,"")</f>
        <v/>
      </c>
      <c r="AY5" s="609" t="str">
        <f t="shared" ref="AY5" ca="1" si="42">IF(WEEKDAY(AY$6)=2,AY6,"")</f>
        <v/>
      </c>
      <c r="AZ5" s="609">
        <f t="shared" ref="AZ5" ca="1" si="43">IF(WEEKDAY(AZ$6)=2,AZ6,"")</f>
        <v>41505</v>
      </c>
      <c r="BA5" s="609" t="str">
        <f t="shared" ref="BA5" ca="1" si="44">IF(WEEKDAY(BA$6)=2,BA6,"")</f>
        <v/>
      </c>
      <c r="BB5" s="609" t="str">
        <f t="shared" ref="BB5" ca="1" si="45">IF(WEEKDAY(BB$6)=2,BB6,"")</f>
        <v/>
      </c>
      <c r="BC5" s="609" t="str">
        <f t="shared" ref="BC5" ca="1" si="46">IF(WEEKDAY(BC$6)=2,BC6,"")</f>
        <v/>
      </c>
      <c r="BD5" s="609" t="str">
        <f t="shared" ref="BD5" ca="1" si="47">IF(WEEKDAY(BD$6)=2,BD6,"")</f>
        <v/>
      </c>
      <c r="BE5" s="609" t="str">
        <f t="shared" ref="BE5" ca="1" si="48">IF(WEEKDAY(BE$6)=2,BE6,"")</f>
        <v/>
      </c>
      <c r="BF5" s="609" t="str">
        <f t="shared" ref="BF5" ca="1" si="49">IF(WEEKDAY(BF$6)=2,BF6,"")</f>
        <v/>
      </c>
      <c r="BG5" s="609">
        <f t="shared" ref="BG5" ca="1" si="50">IF(WEEKDAY(BG$6)=2,BG6,"")</f>
        <v>41512</v>
      </c>
      <c r="BH5" s="609" t="str">
        <f t="shared" ref="BH5" ca="1" si="51">IF(WEEKDAY(BH$6)=2,BH6,"")</f>
        <v/>
      </c>
      <c r="BI5" s="609" t="str">
        <f t="shared" ref="BI5" ca="1" si="52">IF(WEEKDAY(BI$6)=2,BI6,"")</f>
        <v/>
      </c>
      <c r="BJ5" s="609" t="str">
        <f t="shared" ref="BJ5" ca="1" si="53">IF(WEEKDAY(BJ$6)=2,BJ6,"")</f>
        <v/>
      </c>
      <c r="BK5" s="609" t="str">
        <f t="shared" ref="BK5" ca="1" si="54">IF(WEEKDAY(BK$6)=2,BK6,"")</f>
        <v/>
      </c>
      <c r="BL5" s="609" t="str">
        <f t="shared" ref="BL5" ca="1" si="55">IF(WEEKDAY(BL$6)=2,BL6,"")</f>
        <v/>
      </c>
      <c r="BM5" s="609" t="str">
        <f t="shared" ref="BM5" ca="1" si="56">IF(WEEKDAY(BM$6)=2,BM6,"")</f>
        <v/>
      </c>
      <c r="BN5" s="609">
        <f t="shared" ref="BN5" ca="1" si="57">IF(WEEKDAY(BN$6)=2,BN6,"")</f>
        <v>41519</v>
      </c>
      <c r="BO5" s="609" t="str">
        <f t="shared" ref="BO5" ca="1" si="58">IF(WEEKDAY(BO$6)=2,BO6,"")</f>
        <v/>
      </c>
      <c r="BP5" s="609" t="str">
        <f t="shared" ref="BP5" ca="1" si="59">IF(WEEKDAY(BP$6)=2,BP6,"")</f>
        <v/>
      </c>
      <c r="BQ5" s="609" t="str">
        <f t="shared" ref="BQ5" ca="1" si="60">IF(WEEKDAY(BQ$6)=2,BQ6,"")</f>
        <v/>
      </c>
      <c r="BR5" s="609" t="str">
        <f t="shared" ref="BR5" ca="1" si="61">IF(WEEKDAY(BR$6)=2,BR6,"")</f>
        <v/>
      </c>
      <c r="BS5" s="609" t="str">
        <f t="shared" ref="BS5" ca="1" si="62">IF(WEEKDAY(BS$6)=2,BS6,"")</f>
        <v/>
      </c>
      <c r="BT5" s="609" t="str">
        <f t="shared" ref="BT5" ca="1" si="63">IF(WEEKDAY(BT$6)=2,BT6,"")</f>
        <v/>
      </c>
      <c r="BU5" s="609">
        <f t="shared" ref="BU5" ca="1" si="64">IF(WEEKDAY(BU$6)=2,BU6,"")</f>
        <v>41526</v>
      </c>
      <c r="BV5" s="609" t="str">
        <f t="shared" ref="BV5" ca="1" si="65">IF(WEEKDAY(BV$6)=2,BV6,"")</f>
        <v/>
      </c>
      <c r="BW5" s="609" t="str">
        <f t="shared" ref="BW5" ca="1" si="66">IF(WEEKDAY(BW$6)=2,BW6,"")</f>
        <v/>
      </c>
      <c r="BX5" s="609" t="str">
        <f t="shared" ref="BX5" ca="1" si="67">IF(WEEKDAY(BX$6)=2,BX6,"")</f>
        <v/>
      </c>
      <c r="BY5" s="609" t="str">
        <f t="shared" ref="BY5" ca="1" si="68">IF(WEEKDAY(BY$6)=2,BY6,"")</f>
        <v/>
      </c>
      <c r="BZ5" s="609" t="str">
        <f t="shared" ref="BZ5" ca="1" si="69">IF(WEEKDAY(BZ$6)=2,BZ6,"")</f>
        <v/>
      </c>
      <c r="CA5" s="609" t="str">
        <f t="shared" ref="CA5" ca="1" si="70">IF(WEEKDAY(CA$6)=2,CA6,"")</f>
        <v/>
      </c>
      <c r="CB5" s="609">
        <f t="shared" ref="CB5" ca="1" si="71">IF(WEEKDAY(CB$6)=2,CB6,"")</f>
        <v>41533</v>
      </c>
      <c r="CC5" s="609" t="str">
        <f t="shared" ref="CC5" ca="1" si="72">IF(WEEKDAY(CC$6)=2,CC6,"")</f>
        <v/>
      </c>
      <c r="CD5" s="609" t="str">
        <f t="shared" ref="CD5" ca="1" si="73">IF(WEEKDAY(CD$6)=2,CD6,"")</f>
        <v/>
      </c>
      <c r="CE5" s="609" t="str">
        <f t="shared" ref="CE5" ca="1" si="74">IF(WEEKDAY(CE$6)=2,CE6,"")</f>
        <v/>
      </c>
      <c r="CF5" s="609" t="str">
        <f t="shared" ref="CF5" ca="1" si="75">IF(WEEKDAY(CF$6)=2,CF6,"")</f>
        <v/>
      </c>
      <c r="CG5" s="609" t="str">
        <f t="shared" ref="CG5" ca="1" si="76">IF(WEEKDAY(CG$6)=2,CG6,"")</f>
        <v/>
      </c>
      <c r="CH5" s="609" t="str">
        <f t="shared" ref="CH5" ca="1" si="77">IF(WEEKDAY(CH$6)=2,CH6,"")</f>
        <v/>
      </c>
      <c r="CI5" s="609">
        <f t="shared" ref="CI5" ca="1" si="78">IF(WEEKDAY(CI$6)=2,CI6,"")</f>
        <v>41540</v>
      </c>
      <c r="CJ5" s="609" t="str">
        <f t="shared" ref="CJ5" ca="1" si="79">IF(WEEKDAY(CJ$6)=2,CJ6,"")</f>
        <v/>
      </c>
      <c r="CK5" s="609" t="str">
        <f t="shared" ref="CK5" ca="1" si="80">IF(WEEKDAY(CK$6)=2,CK6,"")</f>
        <v/>
      </c>
      <c r="CL5" s="609" t="str">
        <f t="shared" ref="CL5" ca="1" si="81">IF(WEEKDAY(CL$6)=2,CL6,"")</f>
        <v/>
      </c>
      <c r="CM5" s="609" t="str">
        <f t="shared" ref="CM5" ca="1" si="82">IF(WEEKDAY(CM$6)=2,CM6,"")</f>
        <v/>
      </c>
      <c r="CN5" s="609" t="str">
        <f t="shared" ref="CN5" ca="1" si="83">IF(WEEKDAY(CN$6)=2,CN6,"")</f>
        <v/>
      </c>
      <c r="CO5" s="609" t="str">
        <f t="shared" ref="CO5" ca="1" si="84">IF(WEEKDAY(CO$6)=2,CO6,"")</f>
        <v/>
      </c>
      <c r="CP5" s="609">
        <f t="shared" ref="CP5" ca="1" si="85">IF(WEEKDAY(CP$6)=2,CP6,"")</f>
        <v>41547</v>
      </c>
      <c r="CQ5" s="609" t="str">
        <f t="shared" ref="CQ5" ca="1" si="86">IF(WEEKDAY(CQ$6)=2,CQ6,"")</f>
        <v/>
      </c>
      <c r="CR5" s="609" t="str">
        <f t="shared" ref="CR5" ca="1" si="87">IF(WEEKDAY(CR$6)=2,CR6,"")</f>
        <v/>
      </c>
      <c r="CS5" s="609" t="str">
        <f t="shared" ref="CS5" ca="1" si="88">IF(WEEKDAY(CS$6)=2,CS6,"")</f>
        <v/>
      </c>
      <c r="CT5" s="609" t="str">
        <f t="shared" ref="CT5" ca="1" si="89">IF(WEEKDAY(CT$6)=2,CT6,"")</f>
        <v/>
      </c>
      <c r="CU5" s="609" t="str">
        <f t="shared" ref="CU5" ca="1" si="90">IF(WEEKDAY(CU$6)=2,CU6,"")</f>
        <v/>
      </c>
      <c r="CV5" s="609" t="str">
        <f t="shared" ref="CV5" ca="1" si="91">IF(WEEKDAY(CV$6)=2,CV6,"")</f>
        <v/>
      </c>
      <c r="CW5" s="609">
        <f t="shared" ref="CW5" ca="1" si="92">IF(WEEKDAY(CW$6)=2,CW6,"")</f>
        <v>41554</v>
      </c>
      <c r="CX5" s="609" t="str">
        <f t="shared" ref="CX5" ca="1" si="93">IF(WEEKDAY(CX$6)=2,CX6,"")</f>
        <v/>
      </c>
      <c r="CY5" s="609" t="str">
        <f t="shared" ref="CY5" ca="1" si="94">IF(WEEKDAY(CY$6)=2,CY6,"")</f>
        <v/>
      </c>
      <c r="CZ5" s="609" t="str">
        <f t="shared" ref="CZ5" ca="1" si="95">IF(WEEKDAY(CZ$6)=2,CZ6,"")</f>
        <v/>
      </c>
      <c r="DA5" s="609" t="str">
        <f t="shared" ref="DA5" ca="1" si="96">IF(WEEKDAY(DA$6)=2,DA6,"")</f>
        <v/>
      </c>
      <c r="DB5" s="609" t="str">
        <f t="shared" ref="DB5" ca="1" si="97">IF(WEEKDAY(DB$6)=2,DB6,"")</f>
        <v/>
      </c>
      <c r="DC5" s="609" t="str">
        <f t="shared" ref="DC5" ca="1" si="98">IF(WEEKDAY(DC$6)=2,DC6,"")</f>
        <v/>
      </c>
      <c r="DD5" s="609">
        <f t="shared" ref="DD5" ca="1" si="99">IF(WEEKDAY(DD$6)=2,DD6,"")</f>
        <v>41561</v>
      </c>
      <c r="DE5" s="609" t="str">
        <f t="shared" ref="DE5" ca="1" si="100">IF(WEEKDAY(DE$6)=2,DE6,"")</f>
        <v/>
      </c>
      <c r="DF5" s="609" t="str">
        <f t="shared" ref="DF5" ca="1" si="101">IF(WEEKDAY(DF$6)=2,DF6,"")</f>
        <v/>
      </c>
      <c r="DG5" s="609" t="str">
        <f t="shared" ref="DG5" ca="1" si="102">IF(WEEKDAY(DG$6)=2,DG6,"")</f>
        <v/>
      </c>
      <c r="DH5" s="609" t="str">
        <f t="shared" ref="DH5" ca="1" si="103">IF(WEEKDAY(DH$6)=2,DH6,"")</f>
        <v/>
      </c>
      <c r="DI5" s="609" t="str">
        <f t="shared" ref="DI5" ca="1" si="104">IF(WEEKDAY(DI$6)=2,DI6,"")</f>
        <v/>
      </c>
      <c r="DJ5" s="609" t="str">
        <f t="shared" ref="DJ5" ca="1" si="105">IF(WEEKDAY(DJ$6)=2,DJ6,"")</f>
        <v/>
      </c>
      <c r="DK5" s="609">
        <f t="shared" ref="DK5" ca="1" si="106">IF(WEEKDAY(DK$6)=2,DK6,"")</f>
        <v>41568</v>
      </c>
      <c r="DL5" s="609" t="str">
        <f t="shared" ref="DL5" ca="1" si="107">IF(WEEKDAY(DL$6)=2,DL6,"")</f>
        <v/>
      </c>
      <c r="DM5" s="609" t="str">
        <f t="shared" ref="DM5" ca="1" si="108">IF(WEEKDAY(DM$6)=2,DM6,"")</f>
        <v/>
      </c>
      <c r="DN5" s="609" t="str">
        <f t="shared" ref="DN5" ca="1" si="109">IF(WEEKDAY(DN$6)=2,DN6,"")</f>
        <v/>
      </c>
      <c r="DO5" s="609" t="str">
        <f t="shared" ref="DO5" ca="1" si="110">IF(WEEKDAY(DO$6)=2,DO6,"")</f>
        <v/>
      </c>
      <c r="DP5" s="609" t="str">
        <f t="shared" ref="DP5" ca="1" si="111">IF(WEEKDAY(DP$6)=2,DP6,"")</f>
        <v/>
      </c>
      <c r="DQ5" s="609" t="str">
        <f t="shared" ref="DQ5" ca="1" si="112">IF(WEEKDAY(DQ$6)=2,DQ6,"")</f>
        <v/>
      </c>
      <c r="DR5" s="609">
        <f t="shared" ref="DR5" ca="1" si="113">IF(WEEKDAY(DR$6)=2,DR6,"")</f>
        <v>41575</v>
      </c>
      <c r="DS5" s="609" t="str">
        <f t="shared" ref="DS5" ca="1" si="114">IF(WEEKDAY(DS$6)=2,DS6,"")</f>
        <v/>
      </c>
      <c r="DT5" s="609" t="str">
        <f t="shared" ref="DT5" ca="1" si="115">IF(WEEKDAY(DT$6)=2,DT6,"")</f>
        <v/>
      </c>
      <c r="DU5" s="609" t="str">
        <f t="shared" ref="DU5" ca="1" si="116">IF(WEEKDAY(DU$6)=2,DU6,"")</f>
        <v/>
      </c>
      <c r="DV5" s="609" t="str">
        <f t="shared" ref="DV5" ca="1" si="117">IF(WEEKDAY(DV$6)=2,DV6,"")</f>
        <v/>
      </c>
      <c r="DW5" s="609" t="str">
        <f t="shared" ref="DW5" ca="1" si="118">IF(WEEKDAY(DW$6)=2,DW6,"")</f>
        <v/>
      </c>
      <c r="DX5" s="609" t="str">
        <f t="shared" ref="DX5" ca="1" si="119">IF(WEEKDAY(DX$6)=2,DX6,"")</f>
        <v/>
      </c>
      <c r="DY5" s="609">
        <f t="shared" ref="DY5" ca="1" si="120">IF(WEEKDAY(DY$6)=2,DY6,"")</f>
        <v>41582</v>
      </c>
      <c r="DZ5" s="609" t="str">
        <f t="shared" ref="DZ5" ca="1" si="121">IF(WEEKDAY(DZ$6)=2,DZ6,"")</f>
        <v/>
      </c>
      <c r="EA5" s="609" t="str">
        <f t="shared" ref="EA5" ca="1" si="122">IF(WEEKDAY(EA$6)=2,EA6,"")</f>
        <v/>
      </c>
      <c r="EB5" s="609" t="str">
        <f t="shared" ref="EB5" ca="1" si="123">IF(WEEKDAY(EB$6)=2,EB6,"")</f>
        <v/>
      </c>
      <c r="EC5" s="609" t="str">
        <f t="shared" ref="EC5" ca="1" si="124">IF(WEEKDAY(EC$6)=2,EC6,"")</f>
        <v/>
      </c>
      <c r="ED5" s="609" t="str">
        <f t="shared" ref="ED5" ca="1" si="125">IF(WEEKDAY(ED$6)=2,ED6,"")</f>
        <v/>
      </c>
      <c r="EE5" s="609" t="str">
        <f t="shared" ref="EE5" ca="1" si="126">IF(WEEKDAY(EE$6)=2,EE6,"")</f>
        <v/>
      </c>
      <c r="EF5" s="609">
        <f t="shared" ref="EF5" ca="1" si="127">IF(WEEKDAY(EF$6)=2,EF6,"")</f>
        <v>41589</v>
      </c>
      <c r="EG5" s="609" t="str">
        <f t="shared" ref="EG5" ca="1" si="128">IF(WEEKDAY(EG$6)=2,EG6,"")</f>
        <v/>
      </c>
      <c r="EH5" s="609" t="str">
        <f t="shared" ref="EH5" ca="1" si="129">IF(WEEKDAY(EH$6)=2,EH6,"")</f>
        <v/>
      </c>
      <c r="EI5" s="609" t="str">
        <f t="shared" ref="EI5" ca="1" si="130">IF(WEEKDAY(EI$6)=2,EI6,"")</f>
        <v/>
      </c>
      <c r="EJ5" s="609" t="str">
        <f t="shared" ref="EJ5" ca="1" si="131">IF(WEEKDAY(EJ$6)=2,EJ6,"")</f>
        <v/>
      </c>
      <c r="EK5" s="609" t="str">
        <f t="shared" ref="EK5" ca="1" si="132">IF(WEEKDAY(EK$6)=2,EK6,"")</f>
        <v/>
      </c>
      <c r="EL5" s="609" t="str">
        <f t="shared" ref="EL5" ca="1" si="133">IF(WEEKDAY(EL$6)=2,EL6,"")</f>
        <v/>
      </c>
      <c r="EM5" s="609">
        <f t="shared" ref="EM5" ca="1" si="134">IF(WEEKDAY(EM$6)=2,EM6,"")</f>
        <v>41596</v>
      </c>
      <c r="EN5" s="609" t="str">
        <f t="shared" ref="EN5" ca="1" si="135">IF(WEEKDAY(EN$6)=2,EN6,"")</f>
        <v/>
      </c>
      <c r="EO5" s="609" t="str">
        <f t="shared" ref="EO5" ca="1" si="136">IF(WEEKDAY(EO$6)=2,EO6,"")</f>
        <v/>
      </c>
      <c r="EP5" s="609" t="str">
        <f t="shared" ref="EP5" ca="1" si="137">IF(WEEKDAY(EP$6)=2,EP6,"")</f>
        <v/>
      </c>
      <c r="EQ5" s="609" t="str">
        <f t="shared" ref="EQ5" ca="1" si="138">IF(WEEKDAY(EQ$6)=2,EQ6,"")</f>
        <v/>
      </c>
      <c r="ER5" s="609" t="str">
        <f t="shared" ref="ER5" ca="1" si="139">IF(WEEKDAY(ER$6)=2,ER6,"")</f>
        <v/>
      </c>
      <c r="ES5" s="609" t="str">
        <f t="shared" ref="ES5" ca="1" si="140">IF(WEEKDAY(ES$6)=2,ES6,"")</f>
        <v/>
      </c>
      <c r="ET5" s="609">
        <f t="shared" ref="ET5" ca="1" si="141">IF(WEEKDAY(ET$6)=2,ET6,"")</f>
        <v>41603</v>
      </c>
      <c r="EU5" s="609" t="str">
        <f t="shared" ref="EU5" ca="1" si="142">IF(WEEKDAY(EU$6)=2,EU6,"")</f>
        <v/>
      </c>
      <c r="EV5" s="609" t="str">
        <f t="shared" ref="EV5" ca="1" si="143">IF(WEEKDAY(EV$6)=2,EV6,"")</f>
        <v/>
      </c>
      <c r="EW5" s="609" t="str">
        <f t="shared" ref="EW5" ca="1" si="144">IF(WEEKDAY(EW$6)=2,EW6,"")</f>
        <v/>
      </c>
      <c r="EX5" s="609" t="str">
        <f t="shared" ref="EX5" ca="1" si="145">IF(WEEKDAY(EX$6)=2,EX6,"")</f>
        <v/>
      </c>
      <c r="EY5" s="609" t="str">
        <f t="shared" ref="EY5" ca="1" si="146">IF(WEEKDAY(EY$6)=2,EY6,"")</f>
        <v/>
      </c>
      <c r="EZ5" s="609" t="str">
        <f t="shared" ref="EZ5" ca="1" si="147">IF(WEEKDAY(EZ$6)=2,EZ6,"")</f>
        <v/>
      </c>
      <c r="FA5" s="609">
        <f t="shared" ref="FA5" ca="1" si="148">IF(WEEKDAY(FA$6)=2,FA6,"")</f>
        <v>41610</v>
      </c>
      <c r="FB5" s="609" t="str">
        <f t="shared" ref="FB5" ca="1" si="149">IF(WEEKDAY(FB$6)=2,FB6,"")</f>
        <v/>
      </c>
      <c r="FC5" s="609" t="str">
        <f t="shared" ref="FC5" ca="1" si="150">IF(WEEKDAY(FC$6)=2,FC6,"")</f>
        <v/>
      </c>
      <c r="FD5" s="609" t="str">
        <f t="shared" ref="FD5" ca="1" si="151">IF(WEEKDAY(FD$6)=2,FD6,"")</f>
        <v/>
      </c>
      <c r="FE5" s="609" t="str">
        <f t="shared" ref="FE5" ca="1" si="152">IF(WEEKDAY(FE$6)=2,FE6,"")</f>
        <v/>
      </c>
      <c r="FF5" s="609" t="str">
        <f t="shared" ref="FF5" ca="1" si="153">IF(WEEKDAY(FF$6)=2,FF6,"")</f>
        <v/>
      </c>
      <c r="FG5" s="609" t="str">
        <f t="shared" ref="FG5" ca="1" si="154">IF(WEEKDAY(FG$6)=2,FG6,"")</f>
        <v/>
      </c>
      <c r="FH5" s="609">
        <f t="shared" ref="FH5" ca="1" si="155">IF(WEEKDAY(FH$6)=2,FH6,"")</f>
        <v>41617</v>
      </c>
      <c r="FI5" s="609" t="str">
        <f t="shared" ref="FI5" ca="1" si="156">IF(WEEKDAY(FI$6)=2,FI6,"")</f>
        <v/>
      </c>
      <c r="FJ5" s="609" t="str">
        <f t="shared" ref="FJ5" ca="1" si="157">IF(WEEKDAY(FJ$6)=2,FJ6,"")</f>
        <v/>
      </c>
      <c r="FK5" s="609" t="str">
        <f t="shared" ref="FK5" ca="1" si="158">IF(WEEKDAY(FK$6)=2,FK6,"")</f>
        <v/>
      </c>
      <c r="FL5" s="609" t="str">
        <f t="shared" ref="FL5" ca="1" si="159">IF(WEEKDAY(FL$6)=2,FL6,"")</f>
        <v/>
      </c>
      <c r="FM5" s="609" t="str">
        <f t="shared" ref="FM5" ca="1" si="160">IF(WEEKDAY(FM$6)=2,FM6,"")</f>
        <v/>
      </c>
      <c r="FN5" s="609" t="str">
        <f t="shared" ref="FN5" ca="1" si="161">IF(WEEKDAY(FN$6)=2,FN6,"")</f>
        <v/>
      </c>
      <c r="FO5" s="609">
        <f t="shared" ref="FO5" ca="1" si="162">IF(WEEKDAY(FO$6)=2,FO6,"")</f>
        <v>41624</v>
      </c>
      <c r="FP5" s="609" t="str">
        <f t="shared" ref="FP5" ca="1" si="163">IF(WEEKDAY(FP$6)=2,FP6,"")</f>
        <v/>
      </c>
      <c r="FQ5" s="609" t="str">
        <f t="shared" ref="FQ5" ca="1" si="164">IF(WEEKDAY(FQ$6)=2,FQ6,"")</f>
        <v/>
      </c>
      <c r="FR5" s="609" t="str">
        <f t="shared" ref="FR5" ca="1" si="165">IF(WEEKDAY(FR$6)=2,FR6,"")</f>
        <v/>
      </c>
      <c r="FS5" s="609" t="str">
        <f t="shared" ref="FS5" ca="1" si="166">IF(WEEKDAY(FS$6)=2,FS6,"")</f>
        <v/>
      </c>
      <c r="FT5" s="609" t="str">
        <f t="shared" ref="FT5" ca="1" si="167">IF(WEEKDAY(FT$6)=2,FT6,"")</f>
        <v/>
      </c>
      <c r="FU5" s="609" t="str">
        <f t="shared" ref="FU5" ca="1" si="168">IF(WEEKDAY(FU$6)=2,FU6,"")</f>
        <v/>
      </c>
      <c r="FV5" s="609">
        <f t="shared" ref="FV5" ca="1" si="169">IF(WEEKDAY(FV$6)=2,FV6,"")</f>
        <v>41631</v>
      </c>
      <c r="FW5" s="609" t="str">
        <f t="shared" ref="FW5" ca="1" si="170">IF(WEEKDAY(FW$6)=2,FW6,"")</f>
        <v/>
      </c>
      <c r="FX5" s="609" t="str">
        <f t="shared" ref="FX5" ca="1" si="171">IF(WEEKDAY(FX$6)=2,FX6,"")</f>
        <v/>
      </c>
      <c r="FY5" s="609" t="str">
        <f t="shared" ref="FY5" ca="1" si="172">IF(WEEKDAY(FY$6)=2,FY6,"")</f>
        <v/>
      </c>
      <c r="FZ5" s="609" t="str">
        <f t="shared" ref="FZ5" ca="1" si="173">IF(WEEKDAY(FZ$6)=2,FZ6,"")</f>
        <v/>
      </c>
      <c r="GA5" s="609" t="str">
        <f t="shared" ref="GA5" ca="1" si="174">IF(WEEKDAY(GA$6)=2,GA6,"")</f>
        <v/>
      </c>
      <c r="GB5" s="609" t="str">
        <f t="shared" ref="GB5" ca="1" si="175">IF(WEEKDAY(GB$6)=2,GB6,"")</f>
        <v/>
      </c>
      <c r="GC5" s="609">
        <f t="shared" ref="GC5" ca="1" si="176">IF(WEEKDAY(GC$6)=2,GC6,"")</f>
        <v>41638</v>
      </c>
      <c r="GD5" s="609" t="str">
        <f t="shared" ref="GD5" ca="1" si="177">IF(WEEKDAY(GD$6)=2,GD6,"")</f>
        <v/>
      </c>
      <c r="GE5" s="609" t="str">
        <f t="shared" ref="GE5" ca="1" si="178">IF(WEEKDAY(GE$6)=2,GE6,"")</f>
        <v/>
      </c>
      <c r="GF5" s="609" t="str">
        <f t="shared" ref="GF5" ca="1" si="179">IF(WEEKDAY(GF$6)=2,GF6,"")</f>
        <v/>
      </c>
      <c r="GG5" s="609" t="str">
        <f t="shared" ref="GG5" ca="1" si="180">IF(WEEKDAY(GG$6)=2,GG6,"")</f>
        <v/>
      </c>
      <c r="GH5" s="609" t="str">
        <f t="shared" ref="GH5" ca="1" si="181">IF(WEEKDAY(GH$6)=2,GH6,"")</f>
        <v/>
      </c>
      <c r="GI5" s="609" t="str">
        <f t="shared" ref="GI5" ca="1" si="182">IF(WEEKDAY(GI$6)=2,GI6,"")</f>
        <v/>
      </c>
      <c r="GJ5" s="609">
        <f t="shared" ref="GJ5" ca="1" si="183">IF(WEEKDAY(GJ$6)=2,GJ6,"")</f>
        <v>41645</v>
      </c>
      <c r="GK5" s="609" t="str">
        <f t="shared" ref="GK5" ca="1" si="184">IF(WEEKDAY(GK$6)=2,GK6,"")</f>
        <v/>
      </c>
      <c r="GL5" s="609" t="str">
        <f t="shared" ref="GL5" ca="1" si="185">IF(WEEKDAY(GL$6)=2,GL6,"")</f>
        <v/>
      </c>
      <c r="GM5" s="609" t="str">
        <f t="shared" ref="GM5" ca="1" si="186">IF(WEEKDAY(GM$6)=2,GM6,"")</f>
        <v/>
      </c>
      <c r="GN5" s="609" t="str">
        <f t="shared" ref="GN5" ca="1" si="187">IF(WEEKDAY(GN$6)=2,GN6,"")</f>
        <v/>
      </c>
      <c r="GO5" s="609" t="str">
        <f t="shared" ref="GO5" ca="1" si="188">IF(WEEKDAY(GO$6)=2,GO6,"")</f>
        <v/>
      </c>
      <c r="GP5" s="609" t="str">
        <f t="shared" ref="GP5" ca="1" si="189">IF(WEEKDAY(GP$6)=2,GP6,"")</f>
        <v/>
      </c>
      <c r="GQ5" s="609">
        <f t="shared" ref="GQ5" ca="1" si="190">IF(WEEKDAY(GQ$6)=2,GQ6,"")</f>
        <v>41652</v>
      </c>
      <c r="GR5" s="609" t="str">
        <f t="shared" ref="GR5" ca="1" si="191">IF(WEEKDAY(GR$6)=2,GR6,"")</f>
        <v/>
      </c>
      <c r="GS5" s="609" t="str">
        <f t="shared" ref="GS5" ca="1" si="192">IF(WEEKDAY(GS$6)=2,GS6,"")</f>
        <v/>
      </c>
      <c r="GT5" s="609" t="str">
        <f t="shared" ref="GT5" ca="1" si="193">IF(WEEKDAY(GT$6)=2,GT6,"")</f>
        <v/>
      </c>
      <c r="GU5" s="609" t="str">
        <f t="shared" ref="GU5" ca="1" si="194">IF(WEEKDAY(GU$6)=2,GU6,"")</f>
        <v/>
      </c>
      <c r="GV5" s="609" t="str">
        <f t="shared" ref="GV5" ca="1" si="195">IF(WEEKDAY(GV$6)=2,GV6,"")</f>
        <v/>
      </c>
      <c r="GW5" s="609" t="str">
        <f t="shared" ref="GW5" ca="1" si="196">IF(WEEKDAY(GW$6)=2,GW6,"")</f>
        <v/>
      </c>
      <c r="GX5" s="609">
        <f t="shared" ref="GX5" ca="1" si="197">IF(WEEKDAY(GX$6)=2,GX6,"")</f>
        <v>41659</v>
      </c>
      <c r="GY5" s="609" t="str">
        <f t="shared" ref="GY5" ca="1" si="198">IF(WEEKDAY(GY$6)=2,GY6,"")</f>
        <v/>
      </c>
      <c r="GZ5" s="609" t="str">
        <f t="shared" ref="GZ5" ca="1" si="199">IF(WEEKDAY(GZ$6)=2,GZ6,"")</f>
        <v/>
      </c>
      <c r="HA5" s="609" t="str">
        <f t="shared" ref="HA5" ca="1" si="200">IF(WEEKDAY(HA$6)=2,HA6,"")</f>
        <v/>
      </c>
      <c r="HB5" s="609" t="str">
        <f t="shared" ref="HB5" ca="1" si="201">IF(WEEKDAY(HB$6)=2,HB6,"")</f>
        <v/>
      </c>
      <c r="HC5" s="609" t="str">
        <f t="shared" ref="HC5" ca="1" si="202">IF(WEEKDAY(HC$6)=2,HC6,"")</f>
        <v/>
      </c>
      <c r="HD5" s="609" t="str">
        <f t="shared" ref="HD5" ca="1" si="203">IF(WEEKDAY(HD$6)=2,HD6,"")</f>
        <v/>
      </c>
      <c r="HE5" s="609">
        <f t="shared" ref="HE5" ca="1" si="204">IF(WEEKDAY(HE$6)=2,HE6,"")</f>
        <v>41666</v>
      </c>
      <c r="HF5" s="609" t="str">
        <f t="shared" ref="HF5" ca="1" si="205">IF(WEEKDAY(HF$6)=2,HF6,"")</f>
        <v/>
      </c>
      <c r="HG5" s="609" t="str">
        <f t="shared" ref="HG5" ca="1" si="206">IF(WEEKDAY(HG$6)=2,HG6,"")</f>
        <v/>
      </c>
      <c r="HH5" s="609" t="str">
        <f t="shared" ref="HH5" ca="1" si="207">IF(WEEKDAY(HH$6)=2,HH6,"")</f>
        <v/>
      </c>
      <c r="HI5" s="609" t="str">
        <f t="shared" ref="HI5" ca="1" si="208">IF(WEEKDAY(HI$6)=2,HI6,"")</f>
        <v/>
      </c>
      <c r="HJ5" s="609" t="str">
        <f t="shared" ref="HJ5" ca="1" si="209">IF(WEEKDAY(HJ$6)=2,HJ6,"")</f>
        <v/>
      </c>
      <c r="HK5" s="609" t="str">
        <f t="shared" ref="HK5" ca="1" si="210">IF(WEEKDAY(HK$6)=2,HK6,"")</f>
        <v/>
      </c>
      <c r="HL5" s="609">
        <f t="shared" ref="HL5" ca="1" si="211">IF(WEEKDAY(HL$6)=2,HL6,"")</f>
        <v>41673</v>
      </c>
      <c r="HM5" s="609" t="str">
        <f t="shared" ref="HM5" ca="1" si="212">IF(WEEKDAY(HM$6)=2,HM6,"")</f>
        <v/>
      </c>
      <c r="HN5" s="609" t="str">
        <f t="shared" ref="HN5" ca="1" si="213">IF(WEEKDAY(HN$6)=2,HN6,"")</f>
        <v/>
      </c>
      <c r="HO5" s="609" t="str">
        <f t="shared" ref="HO5" ca="1" si="214">IF(WEEKDAY(HO$6)=2,HO6,"")</f>
        <v/>
      </c>
      <c r="HP5" s="609" t="str">
        <f t="shared" ref="HP5" ca="1" si="215">IF(WEEKDAY(HP$6)=2,HP6,"")</f>
        <v/>
      </c>
      <c r="HQ5" s="609" t="str">
        <f t="shared" ref="HQ5" ca="1" si="216">IF(WEEKDAY(HQ$6)=2,HQ6,"")</f>
        <v/>
      </c>
      <c r="HR5" s="609" t="str">
        <f t="shared" ref="HR5" ca="1" si="217">IF(WEEKDAY(HR$6)=2,HR6,"")</f>
        <v/>
      </c>
      <c r="HS5" s="609">
        <f t="shared" ref="HS5" ca="1" si="218">IF(WEEKDAY(HS$6)=2,HS6,"")</f>
        <v>41680</v>
      </c>
      <c r="HT5" s="609" t="str">
        <f t="shared" ref="HT5" ca="1" si="219">IF(WEEKDAY(HT$6)=2,HT6,"")</f>
        <v/>
      </c>
      <c r="HU5" s="609" t="str">
        <f t="shared" ref="HU5" ca="1" si="220">IF(WEEKDAY(HU$6)=2,HU6,"")</f>
        <v/>
      </c>
      <c r="HV5" s="609" t="str">
        <f t="shared" ref="HV5" ca="1" si="221">IF(WEEKDAY(HV$6)=2,HV6,"")</f>
        <v/>
      </c>
      <c r="HW5" s="609" t="str">
        <f t="shared" ref="HW5" ca="1" si="222">IF(WEEKDAY(HW$6)=2,HW6,"")</f>
        <v/>
      </c>
      <c r="HX5" s="609" t="str">
        <f t="shared" ref="HX5" ca="1" si="223">IF(WEEKDAY(HX$6)=2,HX6,"")</f>
        <v/>
      </c>
      <c r="HY5" s="609" t="str">
        <f t="shared" ref="HY5" ca="1" si="224">IF(WEEKDAY(HY$6)=2,HY6,"")</f>
        <v/>
      </c>
      <c r="HZ5" s="609">
        <f t="shared" ref="HZ5" ca="1" si="225">IF(WEEKDAY(HZ$6)=2,HZ6,"")</f>
        <v>41687</v>
      </c>
      <c r="IA5" s="609" t="str">
        <f t="shared" ref="IA5" ca="1" si="226">IF(WEEKDAY(IA$6)=2,IA6,"")</f>
        <v/>
      </c>
      <c r="IB5" s="609" t="str">
        <f t="shared" ref="IB5" ca="1" si="227">IF(WEEKDAY(IB$6)=2,IB6,"")</f>
        <v/>
      </c>
      <c r="IC5" s="609" t="str">
        <f t="shared" ref="IC5" ca="1" si="228">IF(WEEKDAY(IC$6)=2,IC6,"")</f>
        <v/>
      </c>
      <c r="ID5" s="609" t="str">
        <f t="shared" ref="ID5" ca="1" si="229">IF(WEEKDAY(ID$6)=2,ID6,"")</f>
        <v/>
      </c>
      <c r="IE5" s="609" t="str">
        <f t="shared" ref="IE5" ca="1" si="230">IF(WEEKDAY(IE$6)=2,IE6,"")</f>
        <v/>
      </c>
      <c r="IF5" s="609" t="str">
        <f t="shared" ref="IF5" ca="1" si="231">IF(WEEKDAY(IF$6)=2,IF6,"")</f>
        <v/>
      </c>
      <c r="IG5" s="609">
        <f t="shared" ref="IG5" ca="1" si="232">IF(WEEKDAY(IG$6)=2,IG6,"")</f>
        <v>41694</v>
      </c>
      <c r="IH5" s="609" t="str">
        <f t="shared" ref="IH5" ca="1" si="233">IF(WEEKDAY(IH$6)=2,IH6,"")</f>
        <v/>
      </c>
      <c r="II5" s="609" t="str">
        <f t="shared" ref="II5" ca="1" si="234">IF(WEEKDAY(II$6)=2,II6,"")</f>
        <v/>
      </c>
      <c r="IJ5" s="609" t="str">
        <f t="shared" ref="IJ5" ca="1" si="235">IF(WEEKDAY(IJ$6)=2,IJ6,"")</f>
        <v/>
      </c>
      <c r="IK5" s="609" t="str">
        <f t="shared" ref="IK5" ca="1" si="236">IF(WEEKDAY(IK$6)=2,IK6,"")</f>
        <v/>
      </c>
      <c r="IL5" s="609" t="str">
        <f t="shared" ref="IL5" ca="1" si="237">IF(WEEKDAY(IL$6)=2,IL6,"")</f>
        <v/>
      </c>
      <c r="IM5" s="609" t="str">
        <f t="shared" ref="IM5" ca="1" si="238">IF(WEEKDAY(IM$6)=2,IM6,"")</f>
        <v/>
      </c>
      <c r="IN5" s="609">
        <f t="shared" ref="IN5" ca="1" si="239">IF(WEEKDAY(IN$6)=2,IN6,"")</f>
        <v>41701</v>
      </c>
      <c r="IO5" s="609" t="str">
        <f t="shared" ref="IO5" ca="1" si="240">IF(WEEKDAY(IO$6)=2,IO6,"")</f>
        <v/>
      </c>
      <c r="IP5" s="609" t="str">
        <f t="shared" ref="IP5" ca="1" si="241">IF(WEEKDAY(IP$6)=2,IP6,"")</f>
        <v/>
      </c>
      <c r="IQ5" s="609" t="str">
        <f t="shared" ref="IQ5" ca="1" si="242">IF(WEEKDAY(IQ$6)=2,IQ6,"")</f>
        <v/>
      </c>
      <c r="IR5" s="609" t="str">
        <f t="shared" ref="IR5" ca="1" si="243">IF(WEEKDAY(IR$6)=2,IR6,"")</f>
        <v/>
      </c>
      <c r="IS5" s="609" t="str">
        <f t="shared" ref="IS5" ca="1" si="244">IF(WEEKDAY(IS$6)=2,IS6,"")</f>
        <v/>
      </c>
      <c r="IT5" s="609" t="str">
        <f t="shared" ref="IT5" ca="1" si="245">IF(WEEKDAY(IT$6)=2,IT6,"")</f>
        <v/>
      </c>
      <c r="IU5" s="609">
        <f t="shared" ref="IU5" ca="1" si="246">IF(WEEKDAY(IU$6)=2,IU6,"")</f>
        <v>41708</v>
      </c>
      <c r="IV5" s="609" t="str">
        <f t="shared" ref="IV5" ca="1" si="247">IF(WEEKDAY(IV$6)=2,IV6,"")</f>
        <v/>
      </c>
      <c r="IW5" s="609" t="str">
        <f t="shared" ref="IW5" ca="1" si="248">IF(WEEKDAY(IW$6)=2,IW6,"")</f>
        <v/>
      </c>
      <c r="IX5" s="609" t="str">
        <f t="shared" ref="IX5" ca="1" si="249">IF(WEEKDAY(IX$6)=2,IX6,"")</f>
        <v/>
      </c>
      <c r="IY5" s="609" t="str">
        <f t="shared" ref="IY5" ca="1" si="250">IF(WEEKDAY(IY$6)=2,IY6,"")</f>
        <v/>
      </c>
      <c r="IZ5" s="609" t="str">
        <f t="shared" ref="IZ5" ca="1" si="251">IF(WEEKDAY(IZ$6)=2,IZ6,"")</f>
        <v/>
      </c>
      <c r="JA5" s="609" t="str">
        <f t="shared" ref="JA5" ca="1" si="252">IF(WEEKDAY(JA$6)=2,JA6,"")</f>
        <v/>
      </c>
      <c r="JB5" s="609">
        <f t="shared" ref="JB5" ca="1" si="253">IF(WEEKDAY(JB$6)=2,JB6,"")</f>
        <v>41715</v>
      </c>
      <c r="JC5" s="609" t="str">
        <f t="shared" ref="JC5" ca="1" si="254">IF(WEEKDAY(JC$6)=2,JC6,"")</f>
        <v/>
      </c>
      <c r="JD5" s="609" t="str">
        <f t="shared" ref="JD5" ca="1" si="255">IF(WEEKDAY(JD$6)=2,JD6,"")</f>
        <v/>
      </c>
      <c r="JE5" s="609" t="str">
        <f t="shared" ref="JE5" ca="1" si="256">IF(WEEKDAY(JE$6)=2,JE6,"")</f>
        <v/>
      </c>
      <c r="JF5" s="609" t="str">
        <f t="shared" ref="JF5" ca="1" si="257">IF(WEEKDAY(JF$6)=2,JF6,"")</f>
        <v/>
      </c>
      <c r="JG5" s="609" t="str">
        <f t="shared" ref="JG5" ca="1" si="258">IF(WEEKDAY(JG$6)=2,JG6,"")</f>
        <v/>
      </c>
      <c r="JH5" s="609" t="str">
        <f t="shared" ref="JH5" ca="1" si="259">IF(WEEKDAY(JH$6)=2,JH6,"")</f>
        <v/>
      </c>
      <c r="JI5" s="609">
        <f t="shared" ref="JI5" ca="1" si="260">IF(WEEKDAY(JI$6)=2,JI6,"")</f>
        <v>41722</v>
      </c>
      <c r="JJ5" s="609" t="str">
        <f t="shared" ref="JJ5" ca="1" si="261">IF(WEEKDAY(JJ$6)=2,JJ6,"")</f>
        <v/>
      </c>
      <c r="JK5" s="609" t="str">
        <f t="shared" ref="JK5" ca="1" si="262">IF(WEEKDAY(JK$6)=2,JK6,"")</f>
        <v/>
      </c>
      <c r="JL5" s="609" t="str">
        <f t="shared" ref="JL5" ca="1" si="263">IF(WEEKDAY(JL$6)=2,JL6,"")</f>
        <v/>
      </c>
      <c r="JM5" s="609" t="str">
        <f t="shared" ref="JM5" ca="1" si="264">IF(WEEKDAY(JM$6)=2,JM6,"")</f>
        <v/>
      </c>
      <c r="JN5" s="609" t="str">
        <f t="shared" ref="JN5" ca="1" si="265">IF(WEEKDAY(JN$6)=2,JN6,"")</f>
        <v/>
      </c>
      <c r="JO5" s="609" t="str">
        <f t="shared" ref="JO5" ca="1" si="266">IF(WEEKDAY(JO$6)=2,JO6,"")</f>
        <v/>
      </c>
      <c r="JP5" s="609">
        <f t="shared" ref="JP5" ca="1" si="267">IF(WEEKDAY(JP$6)=2,JP6,"")</f>
        <v>41729</v>
      </c>
      <c r="JQ5" s="609" t="str">
        <f t="shared" ref="JQ5" ca="1" si="268">IF(WEEKDAY(JQ$6)=2,JQ6,"")</f>
        <v/>
      </c>
      <c r="JR5" s="609" t="str">
        <f t="shared" ref="JR5" ca="1" si="269">IF(WEEKDAY(JR$6)=2,JR6,"")</f>
        <v/>
      </c>
      <c r="JS5" s="609" t="str">
        <f t="shared" ref="JS5" ca="1" si="270">IF(WEEKDAY(JS$6)=2,JS6,"")</f>
        <v/>
      </c>
      <c r="JT5" s="609" t="str">
        <f t="shared" ref="JT5" ca="1" si="271">IF(WEEKDAY(JT$6)=2,JT6,"")</f>
        <v/>
      </c>
      <c r="JU5" s="609" t="str">
        <f t="shared" ref="JU5" ca="1" si="272">IF(WEEKDAY(JU$6)=2,JU6,"")</f>
        <v/>
      </c>
      <c r="JV5" s="609" t="str">
        <f t="shared" ref="JV5" ca="1" si="273">IF(WEEKDAY(JV$6)=2,JV6,"")</f>
        <v/>
      </c>
      <c r="JW5" s="609">
        <f t="shared" ref="JW5" ca="1" si="274">IF(WEEKDAY(JW$6)=2,JW6,"")</f>
        <v>41736</v>
      </c>
      <c r="JX5" s="609" t="str">
        <f t="shared" ref="JX5" ca="1" si="275">IF(WEEKDAY(JX$6)=2,JX6,"")</f>
        <v/>
      </c>
      <c r="JY5" s="609" t="str">
        <f t="shared" ref="JY5" ca="1" si="276">IF(WEEKDAY(JY$6)=2,JY6,"")</f>
        <v/>
      </c>
      <c r="JZ5" s="609" t="str">
        <f t="shared" ref="JZ5" ca="1" si="277">IF(WEEKDAY(JZ$6)=2,JZ6,"")</f>
        <v/>
      </c>
      <c r="KA5" s="609" t="str">
        <f t="shared" ref="KA5" ca="1" si="278">IF(WEEKDAY(KA$6)=2,KA6,"")</f>
        <v/>
      </c>
      <c r="KB5" s="609" t="str">
        <f t="shared" ref="KB5" ca="1" si="279">IF(WEEKDAY(KB$6)=2,KB6,"")</f>
        <v/>
      </c>
      <c r="KC5" s="609" t="str">
        <f t="shared" ref="KC5" ca="1" si="280">IF(WEEKDAY(KC$6)=2,KC6,"")</f>
        <v/>
      </c>
      <c r="KD5" s="609">
        <f t="shared" ref="KD5" ca="1" si="281">IF(WEEKDAY(KD$6)=2,KD6,"")</f>
        <v>41743</v>
      </c>
      <c r="KE5" s="609" t="str">
        <f t="shared" ref="KE5" ca="1" si="282">IF(WEEKDAY(KE$6)=2,KE6,"")</f>
        <v/>
      </c>
      <c r="KF5" s="609" t="str">
        <f t="shared" ref="KF5" ca="1" si="283">IF(WEEKDAY(KF$6)=2,KF6,"")</f>
        <v/>
      </c>
      <c r="KG5" s="609" t="str">
        <f t="shared" ref="KG5" ca="1" si="284">IF(WEEKDAY(KG$6)=2,KG6,"")</f>
        <v/>
      </c>
      <c r="KH5" s="609" t="str">
        <f t="shared" ref="KH5" ca="1" si="285">IF(WEEKDAY(KH$6)=2,KH6,"")</f>
        <v/>
      </c>
      <c r="KI5" s="609" t="str">
        <f t="shared" ref="KI5" ca="1" si="286">IF(WEEKDAY(KI$6)=2,KI6,"")</f>
        <v/>
      </c>
      <c r="KJ5" s="609" t="str">
        <f t="shared" ref="KJ5" ca="1" si="287">IF(WEEKDAY(KJ$6)=2,KJ6,"")</f>
        <v/>
      </c>
      <c r="KK5" s="609">
        <f t="shared" ref="KK5" ca="1" si="288">IF(WEEKDAY(KK$6)=2,KK6,"")</f>
        <v>41750</v>
      </c>
      <c r="KL5" s="609" t="str">
        <f t="shared" ref="KL5" ca="1" si="289">IF(WEEKDAY(KL$6)=2,KL6,"")</f>
        <v/>
      </c>
      <c r="KM5" s="609" t="str">
        <f t="shared" ref="KM5" ca="1" si="290">IF(WEEKDAY(KM$6)=2,KM6,"")</f>
        <v/>
      </c>
      <c r="KN5" s="609" t="str">
        <f t="shared" ref="KN5" ca="1" si="291">IF(WEEKDAY(KN$6)=2,KN6,"")</f>
        <v/>
      </c>
      <c r="KO5" s="609" t="str">
        <f t="shared" ref="KO5" ca="1" si="292">IF(WEEKDAY(KO$6)=2,KO6,"")</f>
        <v/>
      </c>
      <c r="KP5" s="609" t="str">
        <f t="shared" ref="KP5" ca="1" si="293">IF(WEEKDAY(KP$6)=2,KP6,"")</f>
        <v/>
      </c>
      <c r="KQ5" s="609" t="str">
        <f t="shared" ref="KQ5" ca="1" si="294">IF(WEEKDAY(KQ$6)=2,KQ6,"")</f>
        <v/>
      </c>
      <c r="KR5" s="609">
        <f t="shared" ref="KR5" ca="1" si="295">IF(WEEKDAY(KR$6)=2,KR6,"")</f>
        <v>41757</v>
      </c>
      <c r="KS5" s="609" t="str">
        <f t="shared" ref="KS5" ca="1" si="296">IF(WEEKDAY(KS$6)=2,KS6,"")</f>
        <v/>
      </c>
      <c r="KT5" s="609" t="str">
        <f t="shared" ref="KT5" ca="1" si="297">IF(WEEKDAY(KT$6)=2,KT6,"")</f>
        <v/>
      </c>
      <c r="KU5" s="609" t="str">
        <f t="shared" ref="KU5" ca="1" si="298">IF(WEEKDAY(KU$6)=2,KU6,"")</f>
        <v/>
      </c>
      <c r="KV5" s="609" t="str">
        <f t="shared" ref="KV5" ca="1" si="299">IF(WEEKDAY(KV$6)=2,KV6,"")</f>
        <v/>
      </c>
      <c r="KW5" s="609" t="str">
        <f t="shared" ref="KW5" ca="1" si="300">IF(WEEKDAY(KW$6)=2,KW6,"")</f>
        <v/>
      </c>
      <c r="KX5" s="609" t="str">
        <f t="shared" ref="KX5" ca="1" si="301">IF(WEEKDAY(KX$6)=2,KX6,"")</f>
        <v/>
      </c>
      <c r="KY5" s="609">
        <f t="shared" ref="KY5" ca="1" si="302">IF(WEEKDAY(KY$6)=2,KY6,"")</f>
        <v>41764</v>
      </c>
      <c r="KZ5" s="609" t="str">
        <f t="shared" ref="KZ5" ca="1" si="303">IF(WEEKDAY(KZ$6)=2,KZ6,"")</f>
        <v/>
      </c>
      <c r="LA5" s="609" t="str">
        <f t="shared" ref="LA5" ca="1" si="304">IF(WEEKDAY(LA$6)=2,LA6,"")</f>
        <v/>
      </c>
      <c r="LB5" s="609" t="str">
        <f t="shared" ref="LB5" ca="1" si="305">IF(WEEKDAY(LB$6)=2,LB6,"")</f>
        <v/>
      </c>
      <c r="LC5" s="609" t="str">
        <f t="shared" ref="LC5" ca="1" si="306">IF(WEEKDAY(LC$6)=2,LC6,"")</f>
        <v/>
      </c>
      <c r="LD5" s="609" t="str">
        <f t="shared" ref="LD5" ca="1" si="307">IF(WEEKDAY(LD$6)=2,LD6,"")</f>
        <v/>
      </c>
      <c r="LE5" s="609" t="str">
        <f t="shared" ref="LE5" ca="1" si="308">IF(WEEKDAY(LE$6)=2,LE6,"")</f>
        <v/>
      </c>
      <c r="LF5" s="609">
        <f t="shared" ref="LF5" ca="1" si="309">IF(WEEKDAY(LF$6)=2,LF6,"")</f>
        <v>41771</v>
      </c>
      <c r="LG5" s="609" t="str">
        <f t="shared" ref="LG5" ca="1" si="310">IF(WEEKDAY(LG$6)=2,LG6,"")</f>
        <v/>
      </c>
      <c r="LH5" s="609" t="str">
        <f t="shared" ref="LH5" ca="1" si="311">IF(WEEKDAY(LH$6)=2,LH6,"")</f>
        <v/>
      </c>
      <c r="LI5" s="609" t="str">
        <f t="shared" ref="LI5" ca="1" si="312">IF(WEEKDAY(LI$6)=2,LI6,"")</f>
        <v/>
      </c>
      <c r="LJ5" s="609" t="str">
        <f t="shared" ref="LJ5" ca="1" si="313">IF(WEEKDAY(LJ$6)=2,LJ6,"")</f>
        <v/>
      </c>
      <c r="LK5" s="609" t="str">
        <f t="shared" ref="LK5" ca="1" si="314">IF(WEEKDAY(LK$6)=2,LK6,"")</f>
        <v/>
      </c>
      <c r="LL5" s="609" t="str">
        <f t="shared" ref="LL5" ca="1" si="315">IF(WEEKDAY(LL$6)=2,LL6,"")</f>
        <v/>
      </c>
      <c r="LM5" s="609">
        <f t="shared" ref="LM5" ca="1" si="316">IF(WEEKDAY(LM$6)=2,LM6,"")</f>
        <v>41778</v>
      </c>
      <c r="LN5" s="609" t="str">
        <f t="shared" ref="LN5" ca="1" si="317">IF(WEEKDAY(LN$6)=2,LN6,"")</f>
        <v/>
      </c>
      <c r="LO5" s="609" t="str">
        <f t="shared" ref="LO5" ca="1" si="318">IF(WEEKDAY(LO$6)=2,LO6,"")</f>
        <v/>
      </c>
      <c r="LP5" s="609" t="str">
        <f t="shared" ref="LP5" ca="1" si="319">IF(WEEKDAY(LP$6)=2,LP6,"")</f>
        <v/>
      </c>
      <c r="LQ5" s="609" t="str">
        <f t="shared" ref="LQ5" ca="1" si="320">IF(WEEKDAY(LQ$6)=2,LQ6,"")</f>
        <v/>
      </c>
      <c r="LR5" s="609" t="str">
        <f t="shared" ref="LR5" ca="1" si="321">IF(WEEKDAY(LR$6)=2,LR6,"")</f>
        <v/>
      </c>
      <c r="LS5" s="609" t="str">
        <f t="shared" ref="LS5" ca="1" si="322">IF(WEEKDAY(LS$6)=2,LS6,"")</f>
        <v/>
      </c>
      <c r="LT5" s="609">
        <f t="shared" ref="LT5" ca="1" si="323">IF(WEEKDAY(LT$6)=2,LT6,"")</f>
        <v>41785</v>
      </c>
      <c r="LU5" s="609" t="str">
        <f t="shared" ref="LU5" ca="1" si="324">IF(WEEKDAY(LU$6)=2,LU6,"")</f>
        <v/>
      </c>
      <c r="LV5" s="609" t="str">
        <f t="shared" ref="LV5" ca="1" si="325">IF(WEEKDAY(LV$6)=2,LV6,"")</f>
        <v/>
      </c>
      <c r="LW5" s="609" t="str">
        <f t="shared" ref="LW5" ca="1" si="326">IF(WEEKDAY(LW$6)=2,LW6,"")</f>
        <v/>
      </c>
      <c r="LX5" s="609" t="str">
        <f t="shared" ref="LX5" ca="1" si="327">IF(WEEKDAY(LX$6)=2,LX6,"")</f>
        <v/>
      </c>
      <c r="LY5" s="609" t="str">
        <f t="shared" ref="LY5" ca="1" si="328">IF(WEEKDAY(LY$6)=2,LY6,"")</f>
        <v/>
      </c>
      <c r="LZ5" s="609" t="str">
        <f t="shared" ref="LZ5" ca="1" si="329">IF(WEEKDAY(LZ$6)=2,LZ6,"")</f>
        <v/>
      </c>
      <c r="MA5" s="609">
        <f t="shared" ref="MA5" ca="1" si="330">IF(WEEKDAY(MA$6)=2,MA6,"")</f>
        <v>41792</v>
      </c>
      <c r="MB5" s="609" t="str">
        <f t="shared" ref="MB5" ca="1" si="331">IF(WEEKDAY(MB$6)=2,MB6,"")</f>
        <v/>
      </c>
      <c r="MC5" s="609" t="str">
        <f t="shared" ref="MC5" ca="1" si="332">IF(WEEKDAY(MC$6)=2,MC6,"")</f>
        <v/>
      </c>
      <c r="MD5" s="609" t="str">
        <f t="shared" ref="MD5" ca="1" si="333">IF(WEEKDAY(MD$6)=2,MD6,"")</f>
        <v/>
      </c>
      <c r="ME5" s="609" t="str">
        <f t="shared" ref="ME5" ca="1" si="334">IF(WEEKDAY(ME$6)=2,ME6,"")</f>
        <v/>
      </c>
      <c r="MF5" s="609" t="str">
        <f t="shared" ref="MF5" ca="1" si="335">IF(WEEKDAY(MF$6)=2,MF6,"")</f>
        <v/>
      </c>
      <c r="MG5" s="609" t="str">
        <f t="shared" ref="MG5" ca="1" si="336">IF(WEEKDAY(MG$6)=2,MG6,"")</f>
        <v/>
      </c>
      <c r="MH5" s="609">
        <f t="shared" ref="MH5" ca="1" si="337">IF(WEEKDAY(MH$6)=2,MH6,"")</f>
        <v>41799</v>
      </c>
      <c r="MI5" s="609" t="str">
        <f t="shared" ref="MI5" ca="1" si="338">IF(WEEKDAY(MI$6)=2,MI6,"")</f>
        <v/>
      </c>
      <c r="MJ5" s="609" t="str">
        <f t="shared" ref="MJ5" ca="1" si="339">IF(WEEKDAY(MJ$6)=2,MJ6,"")</f>
        <v/>
      </c>
      <c r="MK5" s="609" t="str">
        <f t="shared" ref="MK5" ca="1" si="340">IF(WEEKDAY(MK$6)=2,MK6,"")</f>
        <v/>
      </c>
      <c r="ML5" s="609" t="str">
        <f t="shared" ref="ML5" ca="1" si="341">IF(WEEKDAY(ML$6)=2,ML6,"")</f>
        <v/>
      </c>
      <c r="MM5" s="609" t="str">
        <f t="shared" ref="MM5" ca="1" si="342">IF(WEEKDAY(MM$6)=2,MM6,"")</f>
        <v/>
      </c>
      <c r="MN5" s="609" t="str">
        <f t="shared" ref="MN5" ca="1" si="343">IF(WEEKDAY(MN$6)=2,MN6,"")</f>
        <v/>
      </c>
      <c r="MO5" s="609">
        <f t="shared" ref="MO5" ca="1" si="344">IF(WEEKDAY(MO$6)=2,MO6,"")</f>
        <v>41806</v>
      </c>
      <c r="MP5" s="609" t="str">
        <f t="shared" ref="MP5" ca="1" si="345">IF(WEEKDAY(MP$6)=2,MP6,"")</f>
        <v/>
      </c>
      <c r="MQ5" s="609" t="str">
        <f t="shared" ref="MQ5" ca="1" si="346">IF(WEEKDAY(MQ$6)=2,MQ6,"")</f>
        <v/>
      </c>
      <c r="MR5" s="609" t="str">
        <f t="shared" ref="MR5" ca="1" si="347">IF(WEEKDAY(MR$6)=2,MR6,"")</f>
        <v/>
      </c>
      <c r="MS5" s="609" t="str">
        <f t="shared" ref="MS5" ca="1" si="348">IF(WEEKDAY(MS$6)=2,MS6,"")</f>
        <v/>
      </c>
      <c r="MT5" s="609" t="str">
        <f t="shared" ref="MT5" ca="1" si="349">IF(WEEKDAY(MT$6)=2,MT6,"")</f>
        <v/>
      </c>
      <c r="MU5" s="609" t="str">
        <f t="shared" ref="MU5" ca="1" si="350">IF(WEEKDAY(MU$6)=2,MU6,"")</f>
        <v/>
      </c>
      <c r="MV5" s="609">
        <f t="shared" ref="MV5" ca="1" si="351">IF(WEEKDAY(MV$6)=2,MV6,"")</f>
        <v>41813</v>
      </c>
      <c r="MW5" s="609" t="str">
        <f t="shared" ref="MW5" ca="1" si="352">IF(WEEKDAY(MW$6)=2,MW6,"")</f>
        <v/>
      </c>
      <c r="MX5" s="609" t="str">
        <f t="shared" ref="MX5" ca="1" si="353">IF(WEEKDAY(MX$6)=2,MX6,"")</f>
        <v/>
      </c>
      <c r="MY5" s="609" t="str">
        <f t="shared" ref="MY5" ca="1" si="354">IF(WEEKDAY(MY$6)=2,MY6,"")</f>
        <v/>
      </c>
      <c r="MZ5" s="609" t="str">
        <f t="shared" ref="MZ5" ca="1" si="355">IF(WEEKDAY(MZ$6)=2,MZ6,"")</f>
        <v/>
      </c>
      <c r="NA5" s="609" t="str">
        <f t="shared" ref="NA5" ca="1" si="356">IF(WEEKDAY(NA$6)=2,NA6,"")</f>
        <v/>
      </c>
      <c r="NB5" s="609" t="str">
        <f t="shared" ref="NB5" ca="1" si="357">IF(WEEKDAY(NB$6)=2,NB6,"")</f>
        <v/>
      </c>
      <c r="NC5" s="609">
        <f t="shared" ref="NC5" ca="1" si="358">IF(WEEKDAY(NC$6)=2,NC6,"")</f>
        <v>41820</v>
      </c>
      <c r="ND5" s="609" t="str">
        <f t="shared" ref="ND5" ca="1" si="359">IF(WEEKDAY(ND$6)=2,ND6,"")</f>
        <v/>
      </c>
      <c r="NE5" s="609" t="str">
        <f t="shared" ref="NE5" ca="1" si="360">IF(WEEKDAY(NE$6)=2,NE6,"")</f>
        <v/>
      </c>
      <c r="NF5" s="609" t="str">
        <f t="shared" ref="NF5" ca="1" si="361">IF(WEEKDAY(NF$6)=2,NF6,"")</f>
        <v/>
      </c>
      <c r="NG5" s="609" t="str">
        <f t="shared" ref="NG5" ca="1" si="362">IF(WEEKDAY(NG$6)=2,NG6,"")</f>
        <v/>
      </c>
      <c r="NH5" s="609" t="str">
        <f t="shared" ref="NH5" ca="1" si="363">IF(WEEKDAY(NH$6)=2,NH6,"")</f>
        <v/>
      </c>
      <c r="NI5" s="609" t="str">
        <f t="shared" ref="NI5" ca="1" si="364">IF(WEEKDAY(NI$6)=2,NI6,"")</f>
        <v/>
      </c>
      <c r="NJ5" s="609">
        <f t="shared" ref="NJ5" ca="1" si="365">IF(WEEKDAY(NJ$6)=2,NJ6,"")</f>
        <v>41827</v>
      </c>
      <c r="NK5" s="609" t="str">
        <f t="shared" ref="NK5" ca="1" si="366">IF(WEEKDAY(NK$6)=2,NK6,"")</f>
        <v/>
      </c>
      <c r="NL5" s="609" t="str">
        <f t="shared" ref="NL5" ca="1" si="367">IF(WEEKDAY(NL$6)=2,NL6,"")</f>
        <v/>
      </c>
      <c r="NM5" s="609" t="str">
        <f t="shared" ref="NM5" ca="1" si="368">IF(WEEKDAY(NM$6)=2,NM6,"")</f>
        <v/>
      </c>
      <c r="NN5" s="609" t="str">
        <f t="shared" ref="NN5" ca="1" si="369">IF(WEEKDAY(NN$6)=2,NN6,"")</f>
        <v/>
      </c>
      <c r="NO5" s="609" t="str">
        <f t="shared" ref="NO5" ca="1" si="370">IF(WEEKDAY(NO$6)=2,NO6,"")</f>
        <v/>
      </c>
      <c r="NP5" s="609" t="str">
        <f t="shared" ref="NP5" ca="1" si="371">IF(WEEKDAY(NP$6)=2,NP6,"")</f>
        <v/>
      </c>
      <c r="NQ5" s="609">
        <f t="shared" ref="NQ5" ca="1" si="372">IF(WEEKDAY(NQ$6)=2,NQ6,"")</f>
        <v>41834</v>
      </c>
      <c r="NR5" s="609" t="str">
        <f t="shared" ref="NR5" ca="1" si="373">IF(WEEKDAY(NR$6)=2,NR6,"")</f>
        <v/>
      </c>
      <c r="NS5" s="609" t="str">
        <f t="shared" ref="NS5" ca="1" si="374">IF(WEEKDAY(NS$6)=2,NS6,"")</f>
        <v/>
      </c>
      <c r="NT5" s="609" t="str">
        <f t="shared" ref="NT5" ca="1" si="375">IF(WEEKDAY(NT$6)=2,NT6,"")</f>
        <v/>
      </c>
      <c r="NU5" s="609" t="str">
        <f t="shared" ref="NU5" ca="1" si="376">IF(WEEKDAY(NU$6)=2,NU6,"")</f>
        <v/>
      </c>
      <c r="NV5" s="609" t="str">
        <f t="shared" ref="NV5" ca="1" si="377">IF(WEEKDAY(NV$6)=2,NV6,"")</f>
        <v/>
      </c>
      <c r="NW5" s="609" t="str">
        <f t="shared" ref="NW5" ca="1" si="378">IF(WEEKDAY(NW$6)=2,NW6,"")</f>
        <v/>
      </c>
      <c r="NX5" s="609">
        <f t="shared" ref="NX5" ca="1" si="379">IF(WEEKDAY(NX$6)=2,NX6,"")</f>
        <v>41841</v>
      </c>
      <c r="NY5" s="609" t="str">
        <f t="shared" ref="NY5" ca="1" si="380">IF(WEEKDAY(NY$6)=2,NY6,"")</f>
        <v/>
      </c>
      <c r="NZ5" s="609" t="str">
        <f t="shared" ref="NZ5" ca="1" si="381">IF(WEEKDAY(NZ$6)=2,NZ6,"")</f>
        <v/>
      </c>
      <c r="OA5" s="609" t="str">
        <f t="shared" ref="OA5" ca="1" si="382">IF(WEEKDAY(OA$6)=2,OA6,"")</f>
        <v/>
      </c>
      <c r="OB5" s="609" t="str">
        <f t="shared" ref="OB5" ca="1" si="383">IF(WEEKDAY(OB$6)=2,OB6,"")</f>
        <v/>
      </c>
      <c r="OC5" s="609" t="str">
        <f t="shared" ref="OC5" ca="1" si="384">IF(WEEKDAY(OC$6)=2,OC6,"")</f>
        <v/>
      </c>
      <c r="OD5" s="609" t="str">
        <f t="shared" ref="OD5" ca="1" si="385">IF(WEEKDAY(OD$6)=2,OD6,"")</f>
        <v/>
      </c>
      <c r="OE5" s="609">
        <f t="shared" ref="OE5" ca="1" si="386">IF(WEEKDAY(OE$6)=2,OE6,"")</f>
        <v>41848</v>
      </c>
      <c r="OF5" s="609" t="str">
        <f t="shared" ref="OF5" ca="1" si="387">IF(WEEKDAY(OF$6)=2,OF6,"")</f>
        <v/>
      </c>
      <c r="OG5" s="609" t="str">
        <f t="shared" ref="OG5" ca="1" si="388">IF(WEEKDAY(OG$6)=2,OG6,"")</f>
        <v/>
      </c>
      <c r="OH5" s="609" t="str">
        <f t="shared" ref="OH5" ca="1" si="389">IF(WEEKDAY(OH$6)=2,OH6,"")</f>
        <v/>
      </c>
      <c r="OI5" s="609" t="str">
        <f t="shared" ref="OI5" ca="1" si="390">IF(WEEKDAY(OI$6)=2,OI6,"")</f>
        <v/>
      </c>
      <c r="OJ5" s="609" t="str">
        <f t="shared" ref="OJ5" ca="1" si="391">IF(WEEKDAY(OJ$6)=2,OJ6,"")</f>
        <v/>
      </c>
      <c r="OK5" s="609" t="str">
        <f t="shared" ref="OK5" ca="1" si="392">IF(WEEKDAY(OK$6)=2,OK6,"")</f>
        <v/>
      </c>
      <c r="OL5" s="609">
        <f t="shared" ref="OL5" ca="1" si="393">IF(WEEKDAY(OL$6)=2,OL6,"")</f>
        <v>41855</v>
      </c>
      <c r="OM5" s="609" t="str">
        <f t="shared" ref="OM5" ca="1" si="394">IF(WEEKDAY(OM$6)=2,OM6,"")</f>
        <v/>
      </c>
      <c r="ON5" s="609" t="str">
        <f t="shared" ref="ON5" ca="1" si="395">IF(WEEKDAY(ON$6)=2,ON6,"")</f>
        <v/>
      </c>
      <c r="OO5" s="609" t="str">
        <f t="shared" ref="OO5" ca="1" si="396">IF(WEEKDAY(OO$6)=2,OO6,"")</f>
        <v/>
      </c>
      <c r="OP5" s="609" t="str">
        <f t="shared" ref="OP5" ca="1" si="397">IF(WEEKDAY(OP$6)=2,OP6,"")</f>
        <v/>
      </c>
      <c r="OQ5" s="609" t="str">
        <f t="shared" ref="OQ5" ca="1" si="398">IF(WEEKDAY(OQ$6)=2,OQ6,"")</f>
        <v/>
      </c>
      <c r="OR5" s="609" t="str">
        <f t="shared" ref="OR5" ca="1" si="399">IF(WEEKDAY(OR$6)=2,OR6,"")</f>
        <v/>
      </c>
      <c r="OS5" s="609">
        <f t="shared" ref="OS5" ca="1" si="400">IF(WEEKDAY(OS$6)=2,OS6,"")</f>
        <v>41862</v>
      </c>
      <c r="OT5" s="609" t="str">
        <f t="shared" ref="OT5" ca="1" si="401">IF(WEEKDAY(OT$6)=2,OT6,"")</f>
        <v/>
      </c>
      <c r="OU5" s="609" t="str">
        <f t="shared" ref="OU5" ca="1" si="402">IF(WEEKDAY(OU$6)=2,OU6,"")</f>
        <v/>
      </c>
      <c r="OV5" s="609" t="str">
        <f t="shared" ref="OV5" ca="1" si="403">IF(WEEKDAY(OV$6)=2,OV6,"")</f>
        <v/>
      </c>
      <c r="OW5" s="609" t="str">
        <f t="shared" ref="OW5" ca="1" si="404">IF(WEEKDAY(OW$6)=2,OW6,"")</f>
        <v/>
      </c>
      <c r="OX5" s="609" t="str">
        <f t="shared" ref="OX5" ca="1" si="405">IF(WEEKDAY(OX$6)=2,OX6,"")</f>
        <v/>
      </c>
      <c r="OY5" s="609" t="str">
        <f t="shared" ref="OY5" ca="1" si="406">IF(WEEKDAY(OY$6)=2,OY6,"")</f>
        <v/>
      </c>
      <c r="OZ5" s="609">
        <f t="shared" ref="OZ5" ca="1" si="407">IF(WEEKDAY(OZ$6)=2,OZ6,"")</f>
        <v>41869</v>
      </c>
      <c r="PA5" s="609" t="str">
        <f t="shared" ref="PA5" ca="1" si="408">IF(WEEKDAY(PA$6)=2,PA6,"")</f>
        <v/>
      </c>
      <c r="PB5" s="609" t="str">
        <f t="shared" ref="PB5" ca="1" si="409">IF(WEEKDAY(PB$6)=2,PB6,"")</f>
        <v/>
      </c>
      <c r="PC5" s="609" t="str">
        <f t="shared" ref="PC5" ca="1" si="410">IF(WEEKDAY(PC$6)=2,PC6,"")</f>
        <v/>
      </c>
      <c r="PD5" s="609" t="str">
        <f t="shared" ref="PD5" ca="1" si="411">IF(WEEKDAY(PD$6)=2,PD6,"")</f>
        <v/>
      </c>
      <c r="PE5" s="609" t="str">
        <f t="shared" ref="PE5" ca="1" si="412">IF(WEEKDAY(PE$6)=2,PE6,"")</f>
        <v/>
      </c>
      <c r="PF5" s="609" t="str">
        <f t="shared" ref="PF5" ca="1" si="413">IF(WEEKDAY(PF$6)=2,PF6,"")</f>
        <v/>
      </c>
      <c r="PG5" s="609">
        <f t="shared" ref="PG5" ca="1" si="414">IF(WEEKDAY(PG$6)=2,PG6,"")</f>
        <v>41876</v>
      </c>
      <c r="PH5" s="609" t="str">
        <f t="shared" ref="PH5" ca="1" si="415">IF(WEEKDAY(PH$6)=2,PH6,"")</f>
        <v/>
      </c>
      <c r="PI5" s="609" t="str">
        <f t="shared" ref="PI5" ca="1" si="416">IF(WEEKDAY(PI$6)=2,PI6,"")</f>
        <v/>
      </c>
      <c r="PJ5" s="609" t="str">
        <f t="shared" ref="PJ5" ca="1" si="417">IF(WEEKDAY(PJ$6)=2,PJ6,"")</f>
        <v/>
      </c>
      <c r="PK5" s="609" t="str">
        <f t="shared" ref="PK5" ca="1" si="418">IF(WEEKDAY(PK$6)=2,PK6,"")</f>
        <v/>
      </c>
      <c r="PL5" s="609" t="str">
        <f t="shared" ref="PL5" ca="1" si="419">IF(WEEKDAY(PL$6)=2,PL6,"")</f>
        <v/>
      </c>
      <c r="PM5" s="609" t="str">
        <f t="shared" ref="PM5" ca="1" si="420">IF(WEEKDAY(PM$6)=2,PM6,"")</f>
        <v/>
      </c>
      <c r="PN5" s="609">
        <f t="shared" ref="PN5" ca="1" si="421">IF(WEEKDAY(PN$6)=2,PN6,"")</f>
        <v>41883</v>
      </c>
      <c r="PO5" s="609" t="str">
        <f t="shared" ref="PO5" ca="1" si="422">IF(WEEKDAY(PO$6)=2,PO6,"")</f>
        <v/>
      </c>
      <c r="PP5" s="609" t="str">
        <f t="shared" ref="PP5" ca="1" si="423">IF(WEEKDAY(PP$6)=2,PP6,"")</f>
        <v/>
      </c>
      <c r="PQ5" s="609" t="str">
        <f t="shared" ref="PQ5" ca="1" si="424">IF(WEEKDAY(PQ$6)=2,PQ6,"")</f>
        <v/>
      </c>
      <c r="PR5" s="609" t="str">
        <f t="shared" ref="PR5" ca="1" si="425">IF(WEEKDAY(PR$6)=2,PR6,"")</f>
        <v/>
      </c>
      <c r="PS5" s="609" t="str">
        <f t="shared" ref="PS5" ca="1" si="426">IF(WEEKDAY(PS$6)=2,PS6,"")</f>
        <v/>
      </c>
      <c r="PT5" s="609" t="str">
        <f t="shared" ref="PT5" ca="1" si="427">IF(WEEKDAY(PT$6)=2,PT6,"")</f>
        <v/>
      </c>
      <c r="PU5" s="609">
        <f t="shared" ref="PU5" ca="1" si="428">IF(WEEKDAY(PU$6)=2,PU6,"")</f>
        <v>41890</v>
      </c>
      <c r="PV5" s="609" t="str">
        <f t="shared" ref="PV5" ca="1" si="429">IF(WEEKDAY(PV$6)=2,PV6,"")</f>
        <v/>
      </c>
      <c r="PW5" s="609" t="str">
        <f t="shared" ref="PW5" ca="1" si="430">IF(WEEKDAY(PW$6)=2,PW6,"")</f>
        <v/>
      </c>
      <c r="PX5" s="609" t="str">
        <f t="shared" ref="PX5" ca="1" si="431">IF(WEEKDAY(PX$6)=2,PX6,"")</f>
        <v/>
      </c>
      <c r="PY5" s="609" t="str">
        <f t="shared" ref="PY5" ca="1" si="432">IF(WEEKDAY(PY$6)=2,PY6,"")</f>
        <v/>
      </c>
      <c r="PZ5" s="609" t="str">
        <f t="shared" ref="PZ5" ca="1" si="433">IF(WEEKDAY(PZ$6)=2,PZ6,"")</f>
        <v/>
      </c>
      <c r="QA5" s="609" t="str">
        <f t="shared" ref="QA5" ca="1" si="434">IF(WEEKDAY(QA$6)=2,QA6,"")</f>
        <v/>
      </c>
      <c r="QB5" s="609">
        <f t="shared" ref="QB5" ca="1" si="435">IF(WEEKDAY(QB$6)=2,QB6,"")</f>
        <v>41897</v>
      </c>
      <c r="QC5" s="609" t="str">
        <f t="shared" ref="QC5" ca="1" si="436">IF(WEEKDAY(QC$6)=2,QC6,"")</f>
        <v/>
      </c>
      <c r="QD5" s="609" t="str">
        <f t="shared" ref="QD5" ca="1" si="437">IF(WEEKDAY(QD$6)=2,QD6,"")</f>
        <v/>
      </c>
      <c r="QE5" s="609" t="str">
        <f t="shared" ref="QE5" ca="1" si="438">IF(WEEKDAY(QE$6)=2,QE6,"")</f>
        <v/>
      </c>
      <c r="QF5" s="609" t="str">
        <f t="shared" ref="QF5" ca="1" si="439">IF(WEEKDAY(QF$6)=2,QF6,"")</f>
        <v/>
      </c>
      <c r="QG5" s="609" t="str">
        <f t="shared" ref="QG5" ca="1" si="440">IF(WEEKDAY(QG$6)=2,QG6,"")</f>
        <v/>
      </c>
      <c r="QH5" s="609" t="str">
        <f t="shared" ref="QH5" ca="1" si="441">IF(WEEKDAY(QH$6)=2,QH6,"")</f>
        <v/>
      </c>
      <c r="QI5" s="609">
        <f t="shared" ref="QI5" ca="1" si="442">IF(WEEKDAY(QI$6)=2,QI6,"")</f>
        <v>41904</v>
      </c>
      <c r="QJ5" s="609" t="str">
        <f t="shared" ref="QJ5" ca="1" si="443">IF(WEEKDAY(QJ$6)=2,QJ6,"")</f>
        <v/>
      </c>
      <c r="QK5" s="609" t="str">
        <f t="shared" ref="QK5" ca="1" si="444">IF(WEEKDAY(QK$6)=2,QK6,"")</f>
        <v/>
      </c>
      <c r="QL5" s="609" t="str">
        <f t="shared" ref="QL5" ca="1" si="445">IF(WEEKDAY(QL$6)=2,QL6,"")</f>
        <v/>
      </c>
      <c r="QM5" s="609" t="str">
        <f t="shared" ref="QM5" ca="1" si="446">IF(WEEKDAY(QM$6)=2,QM6,"")</f>
        <v/>
      </c>
      <c r="QN5" s="609" t="str">
        <f t="shared" ref="QN5" ca="1" si="447">IF(WEEKDAY(QN$6)=2,QN6,"")</f>
        <v/>
      </c>
      <c r="QO5" s="609" t="str">
        <f t="shared" ref="QO5" ca="1" si="448">IF(WEEKDAY(QO$6)=2,QO6,"")</f>
        <v/>
      </c>
      <c r="QP5" s="609">
        <f t="shared" ref="QP5" ca="1" si="449">IF(WEEKDAY(QP$6)=2,QP6,"")</f>
        <v>41911</v>
      </c>
      <c r="QQ5" s="609" t="str">
        <f t="shared" ref="QQ5" ca="1" si="450">IF(WEEKDAY(QQ$6)=2,QQ6,"")</f>
        <v/>
      </c>
      <c r="QR5" s="609" t="str">
        <f t="shared" ref="QR5" ca="1" si="451">IF(WEEKDAY(QR$6)=2,QR6,"")</f>
        <v/>
      </c>
      <c r="QS5" s="609" t="str">
        <f t="shared" ref="QS5" ca="1" si="452">IF(WEEKDAY(QS$6)=2,QS6,"")</f>
        <v/>
      </c>
      <c r="QT5" s="609" t="str">
        <f t="shared" ref="QT5" ca="1" si="453">IF(WEEKDAY(QT$6)=2,QT6,"")</f>
        <v/>
      </c>
      <c r="QU5" s="609" t="str">
        <f t="shared" ref="QU5" ca="1" si="454">IF(WEEKDAY(QU$6)=2,QU6,"")</f>
        <v/>
      </c>
      <c r="QV5" s="609" t="str">
        <f t="shared" ref="QV5" ca="1" si="455">IF(WEEKDAY(QV$6)=2,QV6,"")</f>
        <v/>
      </c>
      <c r="QW5" s="609">
        <f t="shared" ref="QW5" ca="1" si="456">IF(WEEKDAY(QW$6)=2,QW6,"")</f>
        <v>41918</v>
      </c>
      <c r="QX5" s="609" t="str">
        <f t="shared" ref="QX5" ca="1" si="457">IF(WEEKDAY(QX$6)=2,QX6,"")</f>
        <v/>
      </c>
      <c r="QY5" s="609" t="str">
        <f t="shared" ref="QY5" ca="1" si="458">IF(WEEKDAY(QY$6)=2,QY6,"")</f>
        <v/>
      </c>
      <c r="QZ5" s="609" t="str">
        <f t="shared" ref="QZ5" ca="1" si="459">IF(WEEKDAY(QZ$6)=2,QZ6,"")</f>
        <v/>
      </c>
      <c r="RA5" s="609" t="str">
        <f t="shared" ref="RA5" ca="1" si="460">IF(WEEKDAY(RA$6)=2,RA6,"")</f>
        <v/>
      </c>
      <c r="RB5" s="609" t="str">
        <f t="shared" ref="RB5" ca="1" si="461">IF(WEEKDAY(RB$6)=2,RB6,"")</f>
        <v/>
      </c>
      <c r="RC5" s="609" t="str">
        <f t="shared" ref="RC5" ca="1" si="462">IF(WEEKDAY(RC$6)=2,RC6,"")</f>
        <v/>
      </c>
      <c r="RD5" s="609">
        <f t="shared" ref="RD5" ca="1" si="463">IF(WEEKDAY(RD$6)=2,RD6,"")</f>
        <v>41925</v>
      </c>
      <c r="RE5" s="609" t="str">
        <f t="shared" ref="RE5" ca="1" si="464">IF(WEEKDAY(RE$6)=2,RE6,"")</f>
        <v/>
      </c>
      <c r="RF5" s="609" t="str">
        <f t="shared" ref="RF5" ca="1" si="465">IF(WEEKDAY(RF$6)=2,RF6,"")</f>
        <v/>
      </c>
      <c r="RG5" s="609" t="str">
        <f t="shared" ref="RG5" ca="1" si="466">IF(WEEKDAY(RG$6)=2,RG6,"")</f>
        <v/>
      </c>
      <c r="RH5" s="609" t="str">
        <f t="shared" ref="RH5" ca="1" si="467">IF(WEEKDAY(RH$6)=2,RH6,"")</f>
        <v/>
      </c>
      <c r="RI5" s="609" t="str">
        <f t="shared" ref="RI5" ca="1" si="468">IF(WEEKDAY(RI$6)=2,RI6,"")</f>
        <v/>
      </c>
      <c r="RJ5" s="609" t="str">
        <f t="shared" ref="RJ5" ca="1" si="469">IF(WEEKDAY(RJ$6)=2,RJ6,"")</f>
        <v/>
      </c>
      <c r="RK5" s="609">
        <f t="shared" ref="RK5" ca="1" si="470">IF(WEEKDAY(RK$6)=2,RK6,"")</f>
        <v>41932</v>
      </c>
      <c r="RL5" s="609" t="str">
        <f t="shared" ref="RL5" ca="1" si="471">IF(WEEKDAY(RL$6)=2,RL6,"")</f>
        <v/>
      </c>
      <c r="RM5" s="609" t="str">
        <f t="shared" ref="RM5" ca="1" si="472">IF(WEEKDAY(RM$6)=2,RM6,"")</f>
        <v/>
      </c>
      <c r="RN5" s="609" t="str">
        <f t="shared" ref="RN5" ca="1" si="473">IF(WEEKDAY(RN$6)=2,RN6,"")</f>
        <v/>
      </c>
      <c r="RO5" s="609" t="str">
        <f t="shared" ref="RO5" ca="1" si="474">IF(WEEKDAY(RO$6)=2,RO6,"")</f>
        <v/>
      </c>
      <c r="RP5" s="609" t="str">
        <f t="shared" ref="RP5" ca="1" si="475">IF(WEEKDAY(RP$6)=2,RP6,"")</f>
        <v/>
      </c>
      <c r="RQ5" s="609" t="str">
        <f t="shared" ref="RQ5" ca="1" si="476">IF(WEEKDAY(RQ$6)=2,RQ6,"")</f>
        <v/>
      </c>
      <c r="RR5" s="609">
        <f t="shared" ref="RR5" ca="1" si="477">IF(WEEKDAY(RR$6)=2,RR6,"")</f>
        <v>41939</v>
      </c>
      <c r="RS5" s="609" t="str">
        <f t="shared" ref="RS5" ca="1" si="478">IF(WEEKDAY(RS$6)=2,RS6,"")</f>
        <v/>
      </c>
      <c r="RT5" s="609" t="str">
        <f t="shared" ref="RT5" ca="1" si="479">IF(WEEKDAY(RT$6)=2,RT6,"")</f>
        <v/>
      </c>
      <c r="RU5" s="609" t="str">
        <f t="shared" ref="RU5" ca="1" si="480">IF(WEEKDAY(RU$6)=2,RU6,"")</f>
        <v/>
      </c>
      <c r="RV5" s="609" t="str">
        <f t="shared" ref="RV5" ca="1" si="481">IF(WEEKDAY(RV$6)=2,RV6,"")</f>
        <v/>
      </c>
      <c r="RW5" s="609" t="str">
        <f t="shared" ref="RW5" ca="1" si="482">IF(WEEKDAY(RW$6)=2,RW6,"")</f>
        <v/>
      </c>
      <c r="RX5" s="609" t="str">
        <f t="shared" ref="RX5" ca="1" si="483">IF(WEEKDAY(RX$6)=2,RX6,"")</f>
        <v/>
      </c>
      <c r="RY5" s="609">
        <f t="shared" ref="RY5" ca="1" si="484">IF(WEEKDAY(RY$6)=2,RY6,"")</f>
        <v>41946</v>
      </c>
      <c r="RZ5" s="609" t="str">
        <f t="shared" ref="RZ5" ca="1" si="485">IF(WEEKDAY(RZ$6)=2,RZ6,"")</f>
        <v/>
      </c>
      <c r="SA5" s="609" t="str">
        <f t="shared" ref="SA5" ca="1" si="486">IF(WEEKDAY(SA$6)=2,SA6,"")</f>
        <v/>
      </c>
      <c r="SB5" s="609" t="str">
        <f t="shared" ref="SB5" ca="1" si="487">IF(WEEKDAY(SB$6)=2,SB6,"")</f>
        <v/>
      </c>
      <c r="SC5" s="609" t="str">
        <f t="shared" ref="SC5" ca="1" si="488">IF(WEEKDAY(SC$6)=2,SC6,"")</f>
        <v/>
      </c>
      <c r="SD5" s="609" t="str">
        <f t="shared" ref="SD5" ca="1" si="489">IF(WEEKDAY(SD$6)=2,SD6,"")</f>
        <v/>
      </c>
      <c r="SE5" s="609" t="str">
        <f t="shared" ref="SE5" ca="1" si="490">IF(WEEKDAY(SE$6)=2,SE6,"")</f>
        <v/>
      </c>
      <c r="SF5" s="609">
        <f t="shared" ref="SF5" ca="1" si="491">IF(WEEKDAY(SF$6)=2,SF6,"")</f>
        <v>41953</v>
      </c>
      <c r="SG5" s="609" t="str">
        <f t="shared" ref="SG5" ca="1" si="492">IF(WEEKDAY(SG$6)=2,SG6,"")</f>
        <v/>
      </c>
      <c r="SH5" s="609" t="str">
        <f t="shared" ref="SH5" ca="1" si="493">IF(WEEKDAY(SH$6)=2,SH6,"")</f>
        <v/>
      </c>
      <c r="SI5" s="609" t="str">
        <f t="shared" ref="SI5" ca="1" si="494">IF(WEEKDAY(SI$6)=2,SI6,"")</f>
        <v/>
      </c>
      <c r="SJ5" s="609" t="str">
        <f t="shared" ref="SJ5" ca="1" si="495">IF(WEEKDAY(SJ$6)=2,SJ6,"")</f>
        <v/>
      </c>
      <c r="SK5" s="609" t="str">
        <f t="shared" ref="SK5" ca="1" si="496">IF(WEEKDAY(SK$6)=2,SK6,"")</f>
        <v/>
      </c>
      <c r="SL5" s="609" t="str">
        <f t="shared" ref="SL5" ca="1" si="497">IF(WEEKDAY(SL$6)=2,SL6,"")</f>
        <v/>
      </c>
      <c r="SM5" s="609">
        <f t="shared" ref="SM5" ca="1" si="498">IF(WEEKDAY(SM$6)=2,SM6,"")</f>
        <v>41960</v>
      </c>
      <c r="SN5" s="609" t="str">
        <f t="shared" ref="SN5" ca="1" si="499">IF(WEEKDAY(SN$6)=2,SN6,"")</f>
        <v/>
      </c>
      <c r="SO5" s="609" t="str">
        <f t="shared" ref="SO5" ca="1" si="500">IF(WEEKDAY(SO$6)=2,SO6,"")</f>
        <v/>
      </c>
      <c r="SP5" s="609" t="str">
        <f t="shared" ref="SP5" ca="1" si="501">IF(WEEKDAY(SP$6)=2,SP6,"")</f>
        <v/>
      </c>
      <c r="SQ5" s="609" t="str">
        <f t="shared" ref="SQ5" ca="1" si="502">IF(WEEKDAY(SQ$6)=2,SQ6,"")</f>
        <v/>
      </c>
      <c r="SR5" s="609" t="str">
        <f t="shared" ref="SR5" ca="1" si="503">IF(WEEKDAY(SR$6)=2,SR6,"")</f>
        <v/>
      </c>
      <c r="SS5" s="609" t="str">
        <f t="shared" ref="SS5" ca="1" si="504">IF(WEEKDAY(SS$6)=2,SS6,"")</f>
        <v/>
      </c>
      <c r="ST5" s="609">
        <f t="shared" ref="ST5" ca="1" si="505">IF(WEEKDAY(ST$6)=2,ST6,"")</f>
        <v>41967</v>
      </c>
      <c r="SU5" s="609" t="str">
        <f t="shared" ref="SU5" ca="1" si="506">IF(WEEKDAY(SU$6)=2,SU6,"")</f>
        <v/>
      </c>
      <c r="SV5" s="609" t="str">
        <f t="shared" ref="SV5" ca="1" si="507">IF(WEEKDAY(SV$6)=2,SV6,"")</f>
        <v/>
      </c>
      <c r="SW5" s="609" t="str">
        <f t="shared" ref="SW5" ca="1" si="508">IF(WEEKDAY(SW$6)=2,SW6,"")</f>
        <v/>
      </c>
      <c r="SX5" s="609" t="str">
        <f t="shared" ref="SX5" ca="1" si="509">IF(WEEKDAY(SX$6)=2,SX6,"")</f>
        <v/>
      </c>
      <c r="SY5" s="609" t="str">
        <f t="shared" ref="SY5" ca="1" si="510">IF(WEEKDAY(SY$6)=2,SY6,"")</f>
        <v/>
      </c>
      <c r="SZ5" s="609" t="str">
        <f t="shared" ref="SZ5" ca="1" si="511">IF(WEEKDAY(SZ$6)=2,SZ6,"")</f>
        <v/>
      </c>
      <c r="TA5" s="609">
        <f t="shared" ref="TA5" ca="1" si="512">IF(WEEKDAY(TA$6)=2,TA6,"")</f>
        <v>41974</v>
      </c>
      <c r="TB5" s="609" t="str">
        <f t="shared" ref="TB5" ca="1" si="513">IF(WEEKDAY(TB$6)=2,TB6,"")</f>
        <v/>
      </c>
      <c r="TC5" s="609" t="str">
        <f t="shared" ref="TC5" ca="1" si="514">IF(WEEKDAY(TC$6)=2,TC6,"")</f>
        <v/>
      </c>
      <c r="TD5" s="609" t="str">
        <f t="shared" ref="TD5" ca="1" si="515">IF(WEEKDAY(TD$6)=2,TD6,"")</f>
        <v/>
      </c>
      <c r="TE5" s="609" t="str">
        <f t="shared" ref="TE5" ca="1" si="516">IF(WEEKDAY(TE$6)=2,TE6,"")</f>
        <v/>
      </c>
      <c r="TF5" s="609" t="str">
        <f t="shared" ref="TF5" ca="1" si="517">IF(WEEKDAY(TF$6)=2,TF6,"")</f>
        <v/>
      </c>
      <c r="TG5" s="609" t="str">
        <f t="shared" ref="TG5" ca="1" si="518">IF(WEEKDAY(TG$6)=2,TG6,"")</f>
        <v/>
      </c>
      <c r="TH5" s="609">
        <f t="shared" ref="TH5" ca="1" si="519">IF(WEEKDAY(TH$6)=2,TH6,"")</f>
        <v>41981</v>
      </c>
      <c r="TI5" s="609" t="str">
        <f t="shared" ref="TI5" ca="1" si="520">IF(WEEKDAY(TI$6)=2,TI6,"")</f>
        <v/>
      </c>
      <c r="TJ5" s="609" t="str">
        <f t="shared" ref="TJ5" ca="1" si="521">IF(WEEKDAY(TJ$6)=2,TJ6,"")</f>
        <v/>
      </c>
      <c r="TK5" s="609" t="str">
        <f t="shared" ref="TK5" ca="1" si="522">IF(WEEKDAY(TK$6)=2,TK6,"")</f>
        <v/>
      </c>
      <c r="TL5" s="609" t="str">
        <f t="shared" ref="TL5" ca="1" si="523">IF(WEEKDAY(TL$6)=2,TL6,"")</f>
        <v/>
      </c>
      <c r="TM5" s="609" t="str">
        <f t="shared" ref="TM5" ca="1" si="524">IF(WEEKDAY(TM$6)=2,TM6,"")</f>
        <v/>
      </c>
      <c r="TN5" s="609" t="str">
        <f t="shared" ref="TN5" ca="1" si="525">IF(WEEKDAY(TN$6)=2,TN6,"")</f>
        <v/>
      </c>
      <c r="TO5" s="609">
        <f t="shared" ref="TO5" ca="1" si="526">IF(WEEKDAY(TO$6)=2,TO6,"")</f>
        <v>41988</v>
      </c>
      <c r="TP5" s="609" t="str">
        <f t="shared" ref="TP5" ca="1" si="527">IF(WEEKDAY(TP$6)=2,TP6,"")</f>
        <v/>
      </c>
      <c r="TQ5" s="609" t="str">
        <f t="shared" ref="TQ5" ca="1" si="528">IF(WEEKDAY(TQ$6)=2,TQ6,"")</f>
        <v/>
      </c>
      <c r="TR5" s="609" t="str">
        <f t="shared" ref="TR5" ca="1" si="529">IF(WEEKDAY(TR$6)=2,TR6,"")</f>
        <v/>
      </c>
      <c r="TS5" s="609" t="str">
        <f t="shared" ref="TS5" ca="1" si="530">IF(WEEKDAY(TS$6)=2,TS6,"")</f>
        <v/>
      </c>
      <c r="TT5" s="609" t="str">
        <f t="shared" ref="TT5" ca="1" si="531">IF(WEEKDAY(TT$6)=2,TT6,"")</f>
        <v/>
      </c>
      <c r="TU5" s="609" t="str">
        <f t="shared" ref="TU5" ca="1" si="532">IF(WEEKDAY(TU$6)=2,TU6,"")</f>
        <v/>
      </c>
      <c r="TV5" s="609">
        <f t="shared" ref="TV5" ca="1" si="533">IF(WEEKDAY(TV$6)=2,TV6,"")</f>
        <v>41995</v>
      </c>
      <c r="TW5" s="609" t="str">
        <f t="shared" ref="TW5" ca="1" si="534">IF(WEEKDAY(TW$6)=2,TW6,"")</f>
        <v/>
      </c>
      <c r="TX5" s="609" t="str">
        <f t="shared" ref="TX5" ca="1" si="535">IF(WEEKDAY(TX$6)=2,TX6,"")</f>
        <v/>
      </c>
      <c r="TY5" s="609" t="str">
        <f t="shared" ref="TY5" ca="1" si="536">IF(WEEKDAY(TY$6)=2,TY6,"")</f>
        <v/>
      </c>
      <c r="TZ5" s="609" t="str">
        <f t="shared" ref="TZ5" ca="1" si="537">IF(WEEKDAY(TZ$6)=2,TZ6,"")</f>
        <v/>
      </c>
      <c r="UA5" s="609" t="str">
        <f t="shared" ref="UA5" ca="1" si="538">IF(WEEKDAY(UA$6)=2,UA6,"")</f>
        <v/>
      </c>
      <c r="UB5" s="609" t="str">
        <f t="shared" ref="UB5" ca="1" si="539">IF(WEEKDAY(UB$6)=2,UB6,"")</f>
        <v/>
      </c>
      <c r="UC5" s="609">
        <f t="shared" ref="UC5" ca="1" si="540">IF(WEEKDAY(UC$6)=2,UC6,"")</f>
        <v>42002</v>
      </c>
      <c r="UD5" s="609" t="str">
        <f t="shared" ref="UD5" ca="1" si="541">IF(WEEKDAY(UD$6)=2,UD6,"")</f>
        <v/>
      </c>
      <c r="UE5" s="609" t="str">
        <f t="shared" ref="UE5" ca="1" si="542">IF(WEEKDAY(UE$6)=2,UE6,"")</f>
        <v/>
      </c>
      <c r="UF5" s="609" t="str">
        <f t="shared" ref="UF5" ca="1" si="543">IF(WEEKDAY(UF$6)=2,UF6,"")</f>
        <v/>
      </c>
      <c r="UG5" s="609" t="str">
        <f t="shared" ref="UG5" ca="1" si="544">IF(WEEKDAY(UG$6)=2,UG6,"")</f>
        <v/>
      </c>
      <c r="UH5" s="609" t="str">
        <f t="shared" ref="UH5" ca="1" si="545">IF(WEEKDAY(UH$6)=2,UH6,"")</f>
        <v/>
      </c>
      <c r="UI5" s="609" t="str">
        <f t="shared" ref="UI5" ca="1" si="546">IF(WEEKDAY(UI$6)=2,UI6,"")</f>
        <v/>
      </c>
      <c r="UJ5" s="609">
        <f t="shared" ref="UJ5" ca="1" si="547">IF(WEEKDAY(UJ$6)=2,UJ6,"")</f>
        <v>42009</v>
      </c>
      <c r="UK5" s="609" t="str">
        <f t="shared" ref="UK5" ca="1" si="548">IF(WEEKDAY(UK$6)=2,UK6,"")</f>
        <v/>
      </c>
      <c r="UL5" s="609" t="str">
        <f t="shared" ref="UL5" ca="1" si="549">IF(WEEKDAY(UL$6)=2,UL6,"")</f>
        <v/>
      </c>
      <c r="UM5" s="609" t="str">
        <f t="shared" ref="UM5" ca="1" si="550">IF(WEEKDAY(UM$6)=2,UM6,"")</f>
        <v/>
      </c>
      <c r="UN5" s="609" t="str">
        <f t="shared" ref="UN5" ca="1" si="551">IF(WEEKDAY(UN$6)=2,UN6,"")</f>
        <v/>
      </c>
      <c r="UO5" s="609" t="str">
        <f t="shared" ref="UO5" ca="1" si="552">IF(WEEKDAY(UO$6)=2,UO6,"")</f>
        <v/>
      </c>
      <c r="UP5" s="609" t="str">
        <f t="shared" ref="UP5" ca="1" si="553">IF(WEEKDAY(UP$6)=2,UP6,"")</f>
        <v/>
      </c>
      <c r="UQ5" s="609">
        <f t="shared" ref="UQ5" ca="1" si="554">IF(WEEKDAY(UQ$6)=2,UQ6,"")</f>
        <v>42016</v>
      </c>
      <c r="UR5" s="609" t="str">
        <f t="shared" ref="UR5" ca="1" si="555">IF(WEEKDAY(UR$6)=2,UR6,"")</f>
        <v/>
      </c>
      <c r="US5" s="609" t="str">
        <f t="shared" ref="US5" ca="1" si="556">IF(WEEKDAY(US$6)=2,US6,"")</f>
        <v/>
      </c>
      <c r="UT5" s="609" t="str">
        <f t="shared" ref="UT5" ca="1" si="557">IF(WEEKDAY(UT$6)=2,UT6,"")</f>
        <v/>
      </c>
      <c r="UU5" s="609" t="str">
        <f t="shared" ref="UU5" ca="1" si="558">IF(WEEKDAY(UU$6)=2,UU6,"")</f>
        <v/>
      </c>
      <c r="UV5" s="609" t="str">
        <f t="shared" ref="UV5" ca="1" si="559">IF(WEEKDAY(UV$6)=2,UV6,"")</f>
        <v/>
      </c>
      <c r="UW5" s="609" t="str">
        <f t="shared" ref="UW5" ca="1" si="560">IF(WEEKDAY(UW$6)=2,UW6,"")</f>
        <v/>
      </c>
      <c r="UX5" s="609">
        <f t="shared" ref="UX5" ca="1" si="561">IF(WEEKDAY(UX$6)=2,UX6,"")</f>
        <v>42023</v>
      </c>
      <c r="UY5" s="609" t="str">
        <f t="shared" ref="UY5" ca="1" si="562">IF(WEEKDAY(UY$6)=2,UY6,"")</f>
        <v/>
      </c>
      <c r="UZ5" s="609" t="str">
        <f t="shared" ref="UZ5" ca="1" si="563">IF(WEEKDAY(UZ$6)=2,UZ6,"")</f>
        <v/>
      </c>
      <c r="VA5" s="609" t="str">
        <f t="shared" ref="VA5" ca="1" si="564">IF(WEEKDAY(VA$6)=2,VA6,"")</f>
        <v/>
      </c>
      <c r="VB5" s="609" t="str">
        <f t="shared" ref="VB5" ca="1" si="565">IF(WEEKDAY(VB$6)=2,VB6,"")</f>
        <v/>
      </c>
      <c r="VC5" s="609" t="str">
        <f t="shared" ref="VC5" ca="1" si="566">IF(WEEKDAY(VC$6)=2,VC6,"")</f>
        <v/>
      </c>
      <c r="VD5" s="609" t="str">
        <f t="shared" ref="VD5" ca="1" si="567">IF(WEEKDAY(VD$6)=2,VD6,"")</f>
        <v/>
      </c>
      <c r="VE5" s="609">
        <f t="shared" ref="VE5" ca="1" si="568">IF(WEEKDAY(VE$6)=2,VE6,"")</f>
        <v>42030</v>
      </c>
      <c r="VF5" s="609" t="str">
        <f t="shared" ref="VF5" ca="1" si="569">IF(WEEKDAY(VF$6)=2,VF6,"")</f>
        <v/>
      </c>
      <c r="VG5" s="609" t="str">
        <f t="shared" ref="VG5" ca="1" si="570">IF(WEEKDAY(VG$6)=2,VG6,"")</f>
        <v/>
      </c>
      <c r="VH5" s="609" t="str">
        <f t="shared" ref="VH5" ca="1" si="571">IF(WEEKDAY(VH$6)=2,VH6,"")</f>
        <v/>
      </c>
      <c r="VI5" s="609" t="str">
        <f t="shared" ref="VI5" ca="1" si="572">IF(WEEKDAY(VI$6)=2,VI6,"")</f>
        <v/>
      </c>
      <c r="VJ5" s="609" t="str">
        <f t="shared" ref="VJ5" ca="1" si="573">IF(WEEKDAY(VJ$6)=2,VJ6,"")</f>
        <v/>
      </c>
      <c r="VK5" s="609" t="str">
        <f t="shared" ref="VK5" ca="1" si="574">IF(WEEKDAY(VK$6)=2,VK6,"")</f>
        <v/>
      </c>
      <c r="VL5" s="609">
        <f t="shared" ref="VL5" ca="1" si="575">IF(WEEKDAY(VL$6)=2,VL6,"")</f>
        <v>42037</v>
      </c>
      <c r="VM5" s="609" t="str">
        <f t="shared" ref="VM5" ca="1" si="576">IF(WEEKDAY(VM$6)=2,VM6,"")</f>
        <v/>
      </c>
      <c r="VN5" s="609" t="str">
        <f t="shared" ref="VN5" ca="1" si="577">IF(WEEKDAY(VN$6)=2,VN6,"")</f>
        <v/>
      </c>
      <c r="VO5" s="609" t="str">
        <f t="shared" ref="VO5" ca="1" si="578">IF(WEEKDAY(VO$6)=2,VO6,"")</f>
        <v/>
      </c>
      <c r="VP5" s="609" t="str">
        <f t="shared" ref="VP5" ca="1" si="579">IF(WEEKDAY(VP$6)=2,VP6,"")</f>
        <v/>
      </c>
      <c r="VQ5" s="609" t="str">
        <f t="shared" ref="VQ5" ca="1" si="580">IF(WEEKDAY(VQ$6)=2,VQ6,"")</f>
        <v/>
      </c>
      <c r="VR5" s="609" t="str">
        <f t="shared" ref="VR5" ca="1" si="581">IF(WEEKDAY(VR$6)=2,VR6,"")</f>
        <v/>
      </c>
      <c r="VS5" s="609">
        <f t="shared" ref="VS5" ca="1" si="582">IF(WEEKDAY(VS$6)=2,VS6,"")</f>
        <v>42044</v>
      </c>
      <c r="VT5" s="609" t="str">
        <f t="shared" ref="VT5" ca="1" si="583">IF(WEEKDAY(VT$6)=2,VT6,"")</f>
        <v/>
      </c>
      <c r="VU5" s="609" t="str">
        <f t="shared" ref="VU5" ca="1" si="584">IF(WEEKDAY(VU$6)=2,VU6,"")</f>
        <v/>
      </c>
      <c r="VV5" s="609" t="str">
        <f t="shared" ref="VV5" ca="1" si="585">IF(WEEKDAY(VV$6)=2,VV6,"")</f>
        <v/>
      </c>
      <c r="VW5" s="609" t="str">
        <f t="shared" ref="VW5" ca="1" si="586">IF(WEEKDAY(VW$6)=2,VW6,"")</f>
        <v/>
      </c>
      <c r="VX5" s="609" t="str">
        <f t="shared" ref="VX5" ca="1" si="587">IF(WEEKDAY(VX$6)=2,VX6,"")</f>
        <v/>
      </c>
      <c r="VY5" s="609" t="str">
        <f t="shared" ref="VY5" ca="1" si="588">IF(WEEKDAY(VY$6)=2,VY6,"")</f>
        <v/>
      </c>
      <c r="VZ5" s="609">
        <f t="shared" ref="VZ5" ca="1" si="589">IF(WEEKDAY(VZ$6)=2,VZ6,"")</f>
        <v>42051</v>
      </c>
      <c r="WA5" s="609" t="str">
        <f t="shared" ref="WA5" ca="1" si="590">IF(WEEKDAY(WA$6)=2,WA6,"")</f>
        <v/>
      </c>
      <c r="WB5" s="609" t="str">
        <f t="shared" ref="WB5" ca="1" si="591">IF(WEEKDAY(WB$6)=2,WB6,"")</f>
        <v/>
      </c>
      <c r="WC5" s="609" t="str">
        <f t="shared" ref="WC5" ca="1" si="592">IF(WEEKDAY(WC$6)=2,WC6,"")</f>
        <v/>
      </c>
      <c r="WD5" s="609" t="str">
        <f t="shared" ref="WD5" ca="1" si="593">IF(WEEKDAY(WD$6)=2,WD6,"")</f>
        <v/>
      </c>
      <c r="WE5" s="609" t="str">
        <f t="shared" ref="WE5" ca="1" si="594">IF(WEEKDAY(WE$6)=2,WE6,"")</f>
        <v/>
      </c>
      <c r="WF5" s="609" t="str">
        <f t="shared" ref="WF5" ca="1" si="595">IF(WEEKDAY(WF$6)=2,WF6,"")</f>
        <v/>
      </c>
      <c r="WG5" s="609">
        <f t="shared" ref="WG5" ca="1" si="596">IF(WEEKDAY(WG$6)=2,WG6,"")</f>
        <v>42058</v>
      </c>
      <c r="WH5" s="609" t="str">
        <f t="shared" ref="WH5" ca="1" si="597">IF(WEEKDAY(WH$6)=2,WH6,"")</f>
        <v/>
      </c>
      <c r="WI5" s="609" t="str">
        <f t="shared" ref="WI5" ca="1" si="598">IF(WEEKDAY(WI$6)=2,WI6,"")</f>
        <v/>
      </c>
      <c r="WJ5" s="609" t="str">
        <f t="shared" ref="WJ5" ca="1" si="599">IF(WEEKDAY(WJ$6)=2,WJ6,"")</f>
        <v/>
      </c>
      <c r="WK5" s="609" t="str">
        <f t="shared" ref="WK5" ca="1" si="600">IF(WEEKDAY(WK$6)=2,WK6,"")</f>
        <v/>
      </c>
      <c r="WL5" s="609" t="str">
        <f t="shared" ref="WL5" ca="1" si="601">IF(WEEKDAY(WL$6)=2,WL6,"")</f>
        <v/>
      </c>
      <c r="WM5" s="609" t="str">
        <f t="shared" ref="WM5" ca="1" si="602">IF(WEEKDAY(WM$6)=2,WM6,"")</f>
        <v/>
      </c>
      <c r="WN5" s="609">
        <f t="shared" ref="WN5" ca="1" si="603">IF(WEEKDAY(WN$6)=2,WN6,"")</f>
        <v>42065</v>
      </c>
      <c r="WO5" s="609" t="str">
        <f t="shared" ref="WO5" ca="1" si="604">IF(WEEKDAY(WO$6)=2,WO6,"")</f>
        <v/>
      </c>
      <c r="WP5" s="609" t="str">
        <f t="shared" ref="WP5" ca="1" si="605">IF(WEEKDAY(WP$6)=2,WP6,"")</f>
        <v/>
      </c>
      <c r="WQ5" s="609" t="str">
        <f t="shared" ref="WQ5" ca="1" si="606">IF(WEEKDAY(WQ$6)=2,WQ6,"")</f>
        <v/>
      </c>
      <c r="WR5" s="609" t="str">
        <f t="shared" ref="WR5" ca="1" si="607">IF(WEEKDAY(WR$6)=2,WR6,"")</f>
        <v/>
      </c>
      <c r="WS5" s="609" t="str">
        <f t="shared" ref="WS5" ca="1" si="608">IF(WEEKDAY(WS$6)=2,WS6,"")</f>
        <v/>
      </c>
      <c r="WT5" s="609" t="str">
        <f t="shared" ref="WT5" ca="1" si="609">IF(WEEKDAY(WT$6)=2,WT6,"")</f>
        <v/>
      </c>
      <c r="WU5" s="609">
        <f t="shared" ref="WU5" ca="1" si="610">IF(WEEKDAY(WU$6)=2,WU6,"")</f>
        <v>42072</v>
      </c>
      <c r="WV5" s="609" t="str">
        <f t="shared" ref="WV5" ca="1" si="611">IF(WEEKDAY(WV$6)=2,WV6,"")</f>
        <v/>
      </c>
      <c r="WW5" s="609" t="str">
        <f t="shared" ref="WW5" ca="1" si="612">IF(WEEKDAY(WW$6)=2,WW6,"")</f>
        <v/>
      </c>
      <c r="WX5" s="609" t="str">
        <f t="shared" ref="WX5" ca="1" si="613">IF(WEEKDAY(WX$6)=2,WX6,"")</f>
        <v/>
      </c>
      <c r="WY5" s="609" t="str">
        <f t="shared" ref="WY5" ca="1" si="614">IF(WEEKDAY(WY$6)=2,WY6,"")</f>
        <v/>
      </c>
      <c r="WZ5" s="609" t="str">
        <f t="shared" ref="WZ5" ca="1" si="615">IF(WEEKDAY(WZ$6)=2,WZ6,"")</f>
        <v/>
      </c>
      <c r="XA5" s="609" t="str">
        <f t="shared" ref="XA5" ca="1" si="616">IF(WEEKDAY(XA$6)=2,XA6,"")</f>
        <v/>
      </c>
      <c r="XB5" s="609">
        <f t="shared" ref="XB5" ca="1" si="617">IF(WEEKDAY(XB$6)=2,XB6,"")</f>
        <v>42079</v>
      </c>
      <c r="XC5" s="609" t="str">
        <f t="shared" ref="XC5" ca="1" si="618">IF(WEEKDAY(XC$6)=2,XC6,"")</f>
        <v/>
      </c>
      <c r="XD5" s="609" t="str">
        <f t="shared" ref="XD5" ca="1" si="619">IF(WEEKDAY(XD$6)=2,XD6,"")</f>
        <v/>
      </c>
      <c r="XE5" s="609" t="str">
        <f t="shared" ref="XE5" ca="1" si="620">IF(WEEKDAY(XE$6)=2,XE6,"")</f>
        <v/>
      </c>
      <c r="XF5" s="609" t="str">
        <f t="shared" ref="XF5" ca="1" si="621">IF(WEEKDAY(XF$6)=2,XF6,"")</f>
        <v/>
      </c>
      <c r="XG5" s="609" t="str">
        <f t="shared" ref="XG5" ca="1" si="622">IF(WEEKDAY(XG$6)=2,XG6,"")</f>
        <v/>
      </c>
      <c r="XH5" s="609" t="str">
        <f t="shared" ref="XH5" ca="1" si="623">IF(WEEKDAY(XH$6)=2,XH6,"")</f>
        <v/>
      </c>
      <c r="XI5" s="609">
        <f t="shared" ref="XI5" ca="1" si="624">IF(WEEKDAY(XI$6)=2,XI6,"")</f>
        <v>42086</v>
      </c>
      <c r="XJ5" s="609" t="str">
        <f t="shared" ref="XJ5" ca="1" si="625">IF(WEEKDAY(XJ$6)=2,XJ6,"")</f>
        <v/>
      </c>
      <c r="XK5" s="609" t="str">
        <f t="shared" ref="XK5" ca="1" si="626">IF(WEEKDAY(XK$6)=2,XK6,"")</f>
        <v/>
      </c>
      <c r="XL5" s="609" t="str">
        <f t="shared" ref="XL5" ca="1" si="627">IF(WEEKDAY(XL$6)=2,XL6,"")</f>
        <v/>
      </c>
      <c r="XM5" s="609" t="str">
        <f t="shared" ref="XM5" ca="1" si="628">IF(WEEKDAY(XM$6)=2,XM6,"")</f>
        <v/>
      </c>
      <c r="XN5" s="609" t="str">
        <f t="shared" ref="XN5" ca="1" si="629">IF(WEEKDAY(XN$6)=2,XN6,"")</f>
        <v/>
      </c>
      <c r="XO5" s="609" t="str">
        <f t="shared" ref="XO5" ca="1" si="630">IF(WEEKDAY(XO$6)=2,XO6,"")</f>
        <v/>
      </c>
      <c r="XP5" s="609">
        <f t="shared" ref="XP5" ca="1" si="631">IF(WEEKDAY(XP$6)=2,XP6,"")</f>
        <v>42093</v>
      </c>
      <c r="XQ5" s="609" t="str">
        <f t="shared" ref="XQ5" ca="1" si="632">IF(WEEKDAY(XQ$6)=2,XQ6,"")</f>
        <v/>
      </c>
      <c r="XR5" s="609" t="str">
        <f t="shared" ref="XR5" ca="1" si="633">IF(WEEKDAY(XR$6)=2,XR6,"")</f>
        <v/>
      </c>
      <c r="XS5" s="609" t="str">
        <f t="shared" ref="XS5" ca="1" si="634">IF(WEEKDAY(XS$6)=2,XS6,"")</f>
        <v/>
      </c>
      <c r="XT5" s="609" t="str">
        <f t="shared" ref="XT5" ca="1" si="635">IF(WEEKDAY(XT$6)=2,XT6,"")</f>
        <v/>
      </c>
      <c r="XU5" s="609" t="str">
        <f t="shared" ref="XU5" ca="1" si="636">IF(WEEKDAY(XU$6)=2,XU6,"")</f>
        <v/>
      </c>
      <c r="XV5" s="609" t="str">
        <f t="shared" ref="XV5" ca="1" si="637">IF(WEEKDAY(XV$6)=2,XV6,"")</f>
        <v/>
      </c>
      <c r="XW5" s="609">
        <f t="shared" ref="XW5" ca="1" si="638">IF(WEEKDAY(XW$6)=2,XW6,"")</f>
        <v>42100</v>
      </c>
      <c r="XX5" s="609" t="str">
        <f t="shared" ref="XX5" ca="1" si="639">IF(WEEKDAY(XX$6)=2,XX6,"")</f>
        <v/>
      </c>
      <c r="XY5" s="609" t="str">
        <f t="shared" ref="XY5" ca="1" si="640">IF(WEEKDAY(XY$6)=2,XY6,"")</f>
        <v/>
      </c>
      <c r="XZ5" s="609" t="str">
        <f t="shared" ref="XZ5" ca="1" si="641">IF(WEEKDAY(XZ$6)=2,XZ6,"")</f>
        <v/>
      </c>
      <c r="YA5" s="609" t="str">
        <f t="shared" ref="YA5" ca="1" si="642">IF(WEEKDAY(YA$6)=2,YA6,"")</f>
        <v/>
      </c>
      <c r="YB5" s="609" t="str">
        <f t="shared" ref="YB5" ca="1" si="643">IF(WEEKDAY(YB$6)=2,YB6,"")</f>
        <v/>
      </c>
      <c r="YC5" s="609" t="str">
        <f t="shared" ref="YC5" ca="1" si="644">IF(WEEKDAY(YC$6)=2,YC6,"")</f>
        <v/>
      </c>
      <c r="YD5" s="609">
        <f t="shared" ref="YD5" ca="1" si="645">IF(WEEKDAY(YD$6)=2,YD6,"")</f>
        <v>42107</v>
      </c>
      <c r="YE5" s="609" t="str">
        <f t="shared" ref="YE5" ca="1" si="646">IF(WEEKDAY(YE$6)=2,YE6,"")</f>
        <v/>
      </c>
      <c r="YF5" s="609" t="str">
        <f t="shared" ref="YF5" ca="1" si="647">IF(WEEKDAY(YF$6)=2,YF6,"")</f>
        <v/>
      </c>
      <c r="YG5" s="609" t="str">
        <f t="shared" ref="YG5" ca="1" si="648">IF(WEEKDAY(YG$6)=2,YG6,"")</f>
        <v/>
      </c>
      <c r="YH5" s="609" t="str">
        <f t="shared" ref="YH5" ca="1" si="649">IF(WEEKDAY(YH$6)=2,YH6,"")</f>
        <v/>
      </c>
      <c r="YI5" s="609" t="str">
        <f t="shared" ref="YI5" ca="1" si="650">IF(WEEKDAY(YI$6)=2,YI6,"")</f>
        <v/>
      </c>
      <c r="YJ5" s="609" t="str">
        <f t="shared" ref="YJ5" ca="1" si="651">IF(WEEKDAY(YJ$6)=2,YJ6,"")</f>
        <v/>
      </c>
      <c r="YK5" s="609">
        <f t="shared" ref="YK5" ca="1" si="652">IF(WEEKDAY(YK$6)=2,YK6,"")</f>
        <v>42114</v>
      </c>
      <c r="YL5" s="609" t="str">
        <f t="shared" ref="YL5" ca="1" si="653">IF(WEEKDAY(YL$6)=2,YL6,"")</f>
        <v/>
      </c>
      <c r="YM5" s="609" t="str">
        <f t="shared" ref="YM5" ca="1" si="654">IF(WEEKDAY(YM$6)=2,YM6,"")</f>
        <v/>
      </c>
      <c r="YN5" s="609" t="str">
        <f t="shared" ref="YN5" ca="1" si="655">IF(WEEKDAY(YN$6)=2,YN6,"")</f>
        <v/>
      </c>
      <c r="YO5" s="609" t="str">
        <f t="shared" ref="YO5" ca="1" si="656">IF(WEEKDAY(YO$6)=2,YO6,"")</f>
        <v/>
      </c>
      <c r="YP5" s="609" t="str">
        <f t="shared" ref="YP5" ca="1" si="657">IF(WEEKDAY(YP$6)=2,YP6,"")</f>
        <v/>
      </c>
      <c r="YQ5" s="609" t="str">
        <f t="shared" ref="YQ5" ca="1" si="658">IF(WEEKDAY(YQ$6)=2,YQ6,"")</f>
        <v/>
      </c>
      <c r="YR5" s="609">
        <f t="shared" ref="YR5" ca="1" si="659">IF(WEEKDAY(YR$6)=2,YR6,"")</f>
        <v>42121</v>
      </c>
      <c r="YS5" s="609" t="str">
        <f t="shared" ref="YS5" ca="1" si="660">IF(WEEKDAY(YS$6)=2,YS6,"")</f>
        <v/>
      </c>
      <c r="YT5" s="609" t="str">
        <f t="shared" ref="YT5" ca="1" si="661">IF(WEEKDAY(YT$6)=2,YT6,"")</f>
        <v/>
      </c>
      <c r="YU5" s="609" t="str">
        <f t="shared" ref="YU5" ca="1" si="662">IF(WEEKDAY(YU$6)=2,YU6,"")</f>
        <v/>
      </c>
      <c r="YV5" s="609" t="str">
        <f t="shared" ref="YV5" ca="1" si="663">IF(WEEKDAY(YV$6)=2,YV6,"")</f>
        <v/>
      </c>
      <c r="YW5" s="609" t="str">
        <f t="shared" ref="YW5" ca="1" si="664">IF(WEEKDAY(YW$6)=2,YW6,"")</f>
        <v/>
      </c>
      <c r="YX5" s="609" t="str">
        <f t="shared" ref="YX5" ca="1" si="665">IF(WEEKDAY(YX$6)=2,YX6,"")</f>
        <v/>
      </c>
      <c r="YY5" s="609">
        <f t="shared" ref="YY5" ca="1" si="666">IF(WEEKDAY(YY$6)=2,YY6,"")</f>
        <v>42128</v>
      </c>
      <c r="YZ5" s="609" t="str">
        <f t="shared" ref="YZ5" ca="1" si="667">IF(WEEKDAY(YZ$6)=2,YZ6,"")</f>
        <v/>
      </c>
      <c r="ZA5" s="609" t="str">
        <f t="shared" ref="ZA5" ca="1" si="668">IF(WEEKDAY(ZA$6)=2,ZA6,"")</f>
        <v/>
      </c>
      <c r="ZB5" s="609" t="str">
        <f t="shared" ref="ZB5" ca="1" si="669">IF(WEEKDAY(ZB$6)=2,ZB6,"")</f>
        <v/>
      </c>
      <c r="ZC5" s="609" t="str">
        <f t="shared" ref="ZC5" ca="1" si="670">IF(WEEKDAY(ZC$6)=2,ZC6,"")</f>
        <v/>
      </c>
      <c r="ZD5" s="609" t="str">
        <f t="shared" ref="ZD5" ca="1" si="671">IF(WEEKDAY(ZD$6)=2,ZD6,"")</f>
        <v/>
      </c>
      <c r="ZE5" s="609" t="str">
        <f t="shared" ref="ZE5" ca="1" si="672">IF(WEEKDAY(ZE$6)=2,ZE6,"")</f>
        <v/>
      </c>
      <c r="ZF5" s="609">
        <f t="shared" ref="ZF5" ca="1" si="673">IF(WEEKDAY(ZF$6)=2,ZF6,"")</f>
        <v>42135</v>
      </c>
      <c r="ZG5" s="609" t="str">
        <f t="shared" ref="ZG5" ca="1" si="674">IF(WEEKDAY(ZG$6)=2,ZG6,"")</f>
        <v/>
      </c>
      <c r="ZH5" s="609" t="str">
        <f t="shared" ref="ZH5" ca="1" si="675">IF(WEEKDAY(ZH$6)=2,ZH6,"")</f>
        <v/>
      </c>
      <c r="ZI5" s="609" t="str">
        <f t="shared" ref="ZI5" ca="1" si="676">IF(WEEKDAY(ZI$6)=2,ZI6,"")</f>
        <v/>
      </c>
      <c r="ZJ5" s="609" t="str">
        <f t="shared" ref="ZJ5" ca="1" si="677">IF(WEEKDAY(ZJ$6)=2,ZJ6,"")</f>
        <v/>
      </c>
      <c r="ZK5" s="609" t="str">
        <f t="shared" ref="ZK5" ca="1" si="678">IF(WEEKDAY(ZK$6)=2,ZK6,"")</f>
        <v/>
      </c>
      <c r="ZL5" s="609" t="str">
        <f t="shared" ref="ZL5" ca="1" si="679">IF(WEEKDAY(ZL$6)=2,ZL6,"")</f>
        <v/>
      </c>
      <c r="ZM5" s="609">
        <f t="shared" ref="ZM5" ca="1" si="680">IF(WEEKDAY(ZM$6)=2,ZM6,"")</f>
        <v>42142</v>
      </c>
      <c r="ZN5" s="609" t="str">
        <f t="shared" ref="ZN5" ca="1" si="681">IF(WEEKDAY(ZN$6)=2,ZN6,"")</f>
        <v/>
      </c>
      <c r="ZO5" s="609" t="str">
        <f t="shared" ref="ZO5" ca="1" si="682">IF(WEEKDAY(ZO$6)=2,ZO6,"")</f>
        <v/>
      </c>
      <c r="ZP5" s="609" t="str">
        <f t="shared" ref="ZP5" ca="1" si="683">IF(WEEKDAY(ZP$6)=2,ZP6,"")</f>
        <v/>
      </c>
      <c r="ZQ5" s="609" t="str">
        <f t="shared" ref="ZQ5" ca="1" si="684">IF(WEEKDAY(ZQ$6)=2,ZQ6,"")</f>
        <v/>
      </c>
      <c r="ZR5" s="609" t="str">
        <f t="shared" ref="ZR5" ca="1" si="685">IF(WEEKDAY(ZR$6)=2,ZR6,"")</f>
        <v/>
      </c>
      <c r="ZS5" s="609" t="str">
        <f t="shared" ref="ZS5" ca="1" si="686">IF(WEEKDAY(ZS$6)=2,ZS6,"")</f>
        <v/>
      </c>
      <c r="ZT5" s="609">
        <f t="shared" ref="ZT5" ca="1" si="687">IF(WEEKDAY(ZT$6)=2,ZT6,"")</f>
        <v>42149</v>
      </c>
      <c r="ZU5" s="609" t="str">
        <f t="shared" ref="ZU5" ca="1" si="688">IF(WEEKDAY(ZU$6)=2,ZU6,"")</f>
        <v/>
      </c>
      <c r="ZV5" s="609" t="str">
        <f t="shared" ref="ZV5" ca="1" si="689">IF(WEEKDAY(ZV$6)=2,ZV6,"")</f>
        <v/>
      </c>
      <c r="ZW5" s="609" t="str">
        <f t="shared" ref="ZW5" ca="1" si="690">IF(WEEKDAY(ZW$6)=2,ZW6,"")</f>
        <v/>
      </c>
      <c r="ZX5" s="609" t="str">
        <f t="shared" ref="ZX5" ca="1" si="691">IF(WEEKDAY(ZX$6)=2,ZX6,"")</f>
        <v/>
      </c>
      <c r="ZY5" s="609" t="str">
        <f t="shared" ref="ZY5" ca="1" si="692">IF(WEEKDAY(ZY$6)=2,ZY6,"")</f>
        <v/>
      </c>
      <c r="ZZ5" s="609" t="str">
        <f t="shared" ref="ZZ5" ca="1" si="693">IF(WEEKDAY(ZZ$6)=2,ZZ6,"")</f>
        <v/>
      </c>
      <c r="AAA5" s="588"/>
      <c r="AAB5"/>
      <c r="AAC5"/>
      <c r="AAD5" s="112"/>
      <c r="AAE5" s="551" t="s">
        <v>29</v>
      </c>
      <c r="AAF5" s="583" t="s">
        <v>185</v>
      </c>
      <c r="AAG5" s="112"/>
      <c r="AAH5" s="112"/>
      <c r="AAI5" s="77"/>
      <c r="AAJ5" s="508"/>
      <c r="AAK5" s="508"/>
      <c r="AAL5" s="64" t="str">
        <f ca="1">"Next EQC Meeting  "&amp;TEXT(S.EQCMeetingNEXT,"mm/dd/yy")</f>
        <v>Next EQC Meeting  03/03/00</v>
      </c>
      <c r="AAM5" s="112"/>
      <c r="AAN5" s="325"/>
      <c r="AAU5" s="44"/>
      <c r="ABB5" s="23">
        <f>S.BANNER.OverviewStart+76</f>
        <v>41445</v>
      </c>
    </row>
    <row r="6" spans="1:745" s="23" customFormat="1" ht="20.25" customHeight="1">
      <c r="A6" s="558"/>
      <c r="B6" s="541"/>
      <c r="C6" s="542"/>
      <c r="D6" s="776" t="s">
        <v>0</v>
      </c>
      <c r="E6" s="776"/>
      <c r="F6" s="318">
        <f ca="1">NETWORKDAYS(TODAY(),H6)</f>
        <v>116</v>
      </c>
      <c r="G6" s="524">
        <v>41369</v>
      </c>
      <c r="H6" s="524">
        <f>AAH6</f>
        <v>41624</v>
      </c>
      <c r="I6" s="598"/>
      <c r="J6" s="610">
        <f ca="1">TODAY()+J3</f>
        <v>41463</v>
      </c>
      <c r="K6" s="610">
        <f ca="1">J$6+1</f>
        <v>41464</v>
      </c>
      <c r="L6" s="610">
        <f t="shared" ref="L6:BW6" ca="1" si="694">K$6+1</f>
        <v>41465</v>
      </c>
      <c r="M6" s="610">
        <f t="shared" ca="1" si="694"/>
        <v>41466</v>
      </c>
      <c r="N6" s="610">
        <f t="shared" ca="1" si="694"/>
        <v>41467</v>
      </c>
      <c r="O6" s="610">
        <f t="shared" ca="1" si="694"/>
        <v>41468</v>
      </c>
      <c r="P6" s="610">
        <f t="shared" ca="1" si="694"/>
        <v>41469</v>
      </c>
      <c r="Q6" s="610">
        <f t="shared" ca="1" si="694"/>
        <v>41470</v>
      </c>
      <c r="R6" s="610">
        <f t="shared" ca="1" si="694"/>
        <v>41471</v>
      </c>
      <c r="S6" s="610">
        <f t="shared" ca="1" si="694"/>
        <v>41472</v>
      </c>
      <c r="T6" s="610">
        <f t="shared" ca="1" si="694"/>
        <v>41473</v>
      </c>
      <c r="U6" s="610">
        <f t="shared" ca="1" si="694"/>
        <v>41474</v>
      </c>
      <c r="V6" s="610">
        <f t="shared" ca="1" si="694"/>
        <v>41475</v>
      </c>
      <c r="W6" s="610">
        <f t="shared" ca="1" si="694"/>
        <v>41476</v>
      </c>
      <c r="X6" s="610">
        <f t="shared" ca="1" si="694"/>
        <v>41477</v>
      </c>
      <c r="Y6" s="610">
        <f t="shared" ca="1" si="694"/>
        <v>41478</v>
      </c>
      <c r="Z6" s="610">
        <f t="shared" ca="1" si="694"/>
        <v>41479</v>
      </c>
      <c r="AA6" s="610">
        <f t="shared" ca="1" si="694"/>
        <v>41480</v>
      </c>
      <c r="AB6" s="610">
        <f t="shared" ca="1" si="694"/>
        <v>41481</v>
      </c>
      <c r="AC6" s="610">
        <f t="shared" ca="1" si="694"/>
        <v>41482</v>
      </c>
      <c r="AD6" s="610">
        <f t="shared" ca="1" si="694"/>
        <v>41483</v>
      </c>
      <c r="AE6" s="610">
        <f t="shared" ca="1" si="694"/>
        <v>41484</v>
      </c>
      <c r="AF6" s="610">
        <f t="shared" ca="1" si="694"/>
        <v>41485</v>
      </c>
      <c r="AG6" s="610">
        <f t="shared" ca="1" si="694"/>
        <v>41486</v>
      </c>
      <c r="AH6" s="610">
        <f t="shared" ca="1" si="694"/>
        <v>41487</v>
      </c>
      <c r="AI6" s="610">
        <f t="shared" ca="1" si="694"/>
        <v>41488</v>
      </c>
      <c r="AJ6" s="610">
        <f t="shared" ca="1" si="694"/>
        <v>41489</v>
      </c>
      <c r="AK6" s="610">
        <f t="shared" ca="1" si="694"/>
        <v>41490</v>
      </c>
      <c r="AL6" s="610">
        <f t="shared" ca="1" si="694"/>
        <v>41491</v>
      </c>
      <c r="AM6" s="610">
        <f t="shared" ca="1" si="694"/>
        <v>41492</v>
      </c>
      <c r="AN6" s="610">
        <f t="shared" ca="1" si="694"/>
        <v>41493</v>
      </c>
      <c r="AO6" s="610">
        <f t="shared" ca="1" si="694"/>
        <v>41494</v>
      </c>
      <c r="AP6" s="610">
        <f t="shared" ca="1" si="694"/>
        <v>41495</v>
      </c>
      <c r="AQ6" s="610">
        <f t="shared" ca="1" si="694"/>
        <v>41496</v>
      </c>
      <c r="AR6" s="610">
        <f t="shared" ca="1" si="694"/>
        <v>41497</v>
      </c>
      <c r="AS6" s="610">
        <f t="shared" ca="1" si="694"/>
        <v>41498</v>
      </c>
      <c r="AT6" s="610">
        <f t="shared" ca="1" si="694"/>
        <v>41499</v>
      </c>
      <c r="AU6" s="610">
        <f t="shared" ca="1" si="694"/>
        <v>41500</v>
      </c>
      <c r="AV6" s="610">
        <f t="shared" ca="1" si="694"/>
        <v>41501</v>
      </c>
      <c r="AW6" s="610">
        <f t="shared" ca="1" si="694"/>
        <v>41502</v>
      </c>
      <c r="AX6" s="610">
        <f t="shared" ca="1" si="694"/>
        <v>41503</v>
      </c>
      <c r="AY6" s="610">
        <f t="shared" ca="1" si="694"/>
        <v>41504</v>
      </c>
      <c r="AZ6" s="610">
        <f t="shared" ca="1" si="694"/>
        <v>41505</v>
      </c>
      <c r="BA6" s="610">
        <f t="shared" ca="1" si="694"/>
        <v>41506</v>
      </c>
      <c r="BB6" s="610">
        <f t="shared" ca="1" si="694"/>
        <v>41507</v>
      </c>
      <c r="BC6" s="610">
        <f t="shared" ca="1" si="694"/>
        <v>41508</v>
      </c>
      <c r="BD6" s="610">
        <f t="shared" ca="1" si="694"/>
        <v>41509</v>
      </c>
      <c r="BE6" s="610">
        <f t="shared" ca="1" si="694"/>
        <v>41510</v>
      </c>
      <c r="BF6" s="610">
        <f t="shared" ca="1" si="694"/>
        <v>41511</v>
      </c>
      <c r="BG6" s="610">
        <f t="shared" ca="1" si="694"/>
        <v>41512</v>
      </c>
      <c r="BH6" s="610">
        <f t="shared" ca="1" si="694"/>
        <v>41513</v>
      </c>
      <c r="BI6" s="610">
        <f t="shared" ca="1" si="694"/>
        <v>41514</v>
      </c>
      <c r="BJ6" s="610">
        <f t="shared" ca="1" si="694"/>
        <v>41515</v>
      </c>
      <c r="BK6" s="610">
        <f t="shared" ca="1" si="694"/>
        <v>41516</v>
      </c>
      <c r="BL6" s="610">
        <f t="shared" ca="1" si="694"/>
        <v>41517</v>
      </c>
      <c r="BM6" s="610">
        <f t="shared" ca="1" si="694"/>
        <v>41518</v>
      </c>
      <c r="BN6" s="610">
        <f t="shared" ca="1" si="694"/>
        <v>41519</v>
      </c>
      <c r="BO6" s="610">
        <f t="shared" ca="1" si="694"/>
        <v>41520</v>
      </c>
      <c r="BP6" s="610">
        <f t="shared" ca="1" si="694"/>
        <v>41521</v>
      </c>
      <c r="BQ6" s="610">
        <f t="shared" ca="1" si="694"/>
        <v>41522</v>
      </c>
      <c r="BR6" s="610">
        <f t="shared" ca="1" si="694"/>
        <v>41523</v>
      </c>
      <c r="BS6" s="610">
        <f t="shared" ca="1" si="694"/>
        <v>41524</v>
      </c>
      <c r="BT6" s="610">
        <f t="shared" ca="1" si="694"/>
        <v>41525</v>
      </c>
      <c r="BU6" s="610">
        <f t="shared" ca="1" si="694"/>
        <v>41526</v>
      </c>
      <c r="BV6" s="610">
        <f t="shared" ca="1" si="694"/>
        <v>41527</v>
      </c>
      <c r="BW6" s="610">
        <f t="shared" ca="1" si="694"/>
        <v>41528</v>
      </c>
      <c r="BX6" s="610">
        <f t="shared" ref="BX6:EI6" ca="1" si="695">BW$6+1</f>
        <v>41529</v>
      </c>
      <c r="BY6" s="610">
        <f t="shared" ca="1" si="695"/>
        <v>41530</v>
      </c>
      <c r="BZ6" s="610">
        <f t="shared" ca="1" si="695"/>
        <v>41531</v>
      </c>
      <c r="CA6" s="610">
        <f t="shared" ca="1" si="695"/>
        <v>41532</v>
      </c>
      <c r="CB6" s="610">
        <f t="shared" ca="1" si="695"/>
        <v>41533</v>
      </c>
      <c r="CC6" s="610">
        <f t="shared" ca="1" si="695"/>
        <v>41534</v>
      </c>
      <c r="CD6" s="610">
        <f t="shared" ca="1" si="695"/>
        <v>41535</v>
      </c>
      <c r="CE6" s="610">
        <f t="shared" ca="1" si="695"/>
        <v>41536</v>
      </c>
      <c r="CF6" s="610">
        <f t="shared" ca="1" si="695"/>
        <v>41537</v>
      </c>
      <c r="CG6" s="610">
        <f t="shared" ca="1" si="695"/>
        <v>41538</v>
      </c>
      <c r="CH6" s="610">
        <f t="shared" ca="1" si="695"/>
        <v>41539</v>
      </c>
      <c r="CI6" s="610">
        <f t="shared" ca="1" si="695"/>
        <v>41540</v>
      </c>
      <c r="CJ6" s="610">
        <f t="shared" ca="1" si="695"/>
        <v>41541</v>
      </c>
      <c r="CK6" s="610">
        <f t="shared" ca="1" si="695"/>
        <v>41542</v>
      </c>
      <c r="CL6" s="610">
        <f t="shared" ca="1" si="695"/>
        <v>41543</v>
      </c>
      <c r="CM6" s="610">
        <f t="shared" ca="1" si="695"/>
        <v>41544</v>
      </c>
      <c r="CN6" s="610">
        <f t="shared" ca="1" si="695"/>
        <v>41545</v>
      </c>
      <c r="CO6" s="610">
        <f t="shared" ca="1" si="695"/>
        <v>41546</v>
      </c>
      <c r="CP6" s="610">
        <f t="shared" ca="1" si="695"/>
        <v>41547</v>
      </c>
      <c r="CQ6" s="610">
        <f t="shared" ca="1" si="695"/>
        <v>41548</v>
      </c>
      <c r="CR6" s="610">
        <f t="shared" ca="1" si="695"/>
        <v>41549</v>
      </c>
      <c r="CS6" s="610">
        <f t="shared" ca="1" si="695"/>
        <v>41550</v>
      </c>
      <c r="CT6" s="610">
        <f t="shared" ca="1" si="695"/>
        <v>41551</v>
      </c>
      <c r="CU6" s="610">
        <f t="shared" ca="1" si="695"/>
        <v>41552</v>
      </c>
      <c r="CV6" s="610">
        <f t="shared" ca="1" si="695"/>
        <v>41553</v>
      </c>
      <c r="CW6" s="610">
        <f t="shared" ca="1" si="695"/>
        <v>41554</v>
      </c>
      <c r="CX6" s="610">
        <f t="shared" ca="1" si="695"/>
        <v>41555</v>
      </c>
      <c r="CY6" s="610">
        <f t="shared" ca="1" si="695"/>
        <v>41556</v>
      </c>
      <c r="CZ6" s="610">
        <f t="shared" ca="1" si="695"/>
        <v>41557</v>
      </c>
      <c r="DA6" s="610">
        <f t="shared" ca="1" si="695"/>
        <v>41558</v>
      </c>
      <c r="DB6" s="610">
        <f t="shared" ca="1" si="695"/>
        <v>41559</v>
      </c>
      <c r="DC6" s="610">
        <f t="shared" ca="1" si="695"/>
        <v>41560</v>
      </c>
      <c r="DD6" s="610">
        <f t="shared" ca="1" si="695"/>
        <v>41561</v>
      </c>
      <c r="DE6" s="610">
        <f t="shared" ca="1" si="695"/>
        <v>41562</v>
      </c>
      <c r="DF6" s="610">
        <f t="shared" ca="1" si="695"/>
        <v>41563</v>
      </c>
      <c r="DG6" s="610">
        <f t="shared" ca="1" si="695"/>
        <v>41564</v>
      </c>
      <c r="DH6" s="610">
        <f t="shared" ca="1" si="695"/>
        <v>41565</v>
      </c>
      <c r="DI6" s="610">
        <f t="shared" ca="1" si="695"/>
        <v>41566</v>
      </c>
      <c r="DJ6" s="610">
        <f t="shared" ca="1" si="695"/>
        <v>41567</v>
      </c>
      <c r="DK6" s="610">
        <f t="shared" ca="1" si="695"/>
        <v>41568</v>
      </c>
      <c r="DL6" s="610">
        <f t="shared" ca="1" si="695"/>
        <v>41569</v>
      </c>
      <c r="DM6" s="610">
        <f t="shared" ca="1" si="695"/>
        <v>41570</v>
      </c>
      <c r="DN6" s="610">
        <f t="shared" ca="1" si="695"/>
        <v>41571</v>
      </c>
      <c r="DO6" s="610">
        <f t="shared" ca="1" si="695"/>
        <v>41572</v>
      </c>
      <c r="DP6" s="610">
        <f t="shared" ca="1" si="695"/>
        <v>41573</v>
      </c>
      <c r="DQ6" s="610">
        <f t="shared" ca="1" si="695"/>
        <v>41574</v>
      </c>
      <c r="DR6" s="610">
        <f t="shared" ca="1" si="695"/>
        <v>41575</v>
      </c>
      <c r="DS6" s="610">
        <f t="shared" ca="1" si="695"/>
        <v>41576</v>
      </c>
      <c r="DT6" s="610">
        <f t="shared" ca="1" si="695"/>
        <v>41577</v>
      </c>
      <c r="DU6" s="610">
        <f t="shared" ca="1" si="695"/>
        <v>41578</v>
      </c>
      <c r="DV6" s="610">
        <f t="shared" ca="1" si="695"/>
        <v>41579</v>
      </c>
      <c r="DW6" s="610">
        <f t="shared" ca="1" si="695"/>
        <v>41580</v>
      </c>
      <c r="DX6" s="610">
        <f t="shared" ca="1" si="695"/>
        <v>41581</v>
      </c>
      <c r="DY6" s="610">
        <f t="shared" ca="1" si="695"/>
        <v>41582</v>
      </c>
      <c r="DZ6" s="610">
        <f t="shared" ca="1" si="695"/>
        <v>41583</v>
      </c>
      <c r="EA6" s="610">
        <f t="shared" ca="1" si="695"/>
        <v>41584</v>
      </c>
      <c r="EB6" s="610">
        <f t="shared" ca="1" si="695"/>
        <v>41585</v>
      </c>
      <c r="EC6" s="610">
        <f t="shared" ca="1" si="695"/>
        <v>41586</v>
      </c>
      <c r="ED6" s="610">
        <f t="shared" ca="1" si="695"/>
        <v>41587</v>
      </c>
      <c r="EE6" s="610">
        <f t="shared" ca="1" si="695"/>
        <v>41588</v>
      </c>
      <c r="EF6" s="610">
        <f t="shared" ca="1" si="695"/>
        <v>41589</v>
      </c>
      <c r="EG6" s="610">
        <f t="shared" ca="1" si="695"/>
        <v>41590</v>
      </c>
      <c r="EH6" s="610">
        <f t="shared" ca="1" si="695"/>
        <v>41591</v>
      </c>
      <c r="EI6" s="610">
        <f t="shared" ca="1" si="695"/>
        <v>41592</v>
      </c>
      <c r="EJ6" s="610">
        <f t="shared" ref="EJ6:GU6" ca="1" si="696">EI$6+1</f>
        <v>41593</v>
      </c>
      <c r="EK6" s="610">
        <f t="shared" ca="1" si="696"/>
        <v>41594</v>
      </c>
      <c r="EL6" s="610">
        <f t="shared" ca="1" si="696"/>
        <v>41595</v>
      </c>
      <c r="EM6" s="610">
        <f t="shared" ca="1" si="696"/>
        <v>41596</v>
      </c>
      <c r="EN6" s="610">
        <f t="shared" ca="1" si="696"/>
        <v>41597</v>
      </c>
      <c r="EO6" s="610">
        <f t="shared" ca="1" si="696"/>
        <v>41598</v>
      </c>
      <c r="EP6" s="610">
        <f t="shared" ca="1" si="696"/>
        <v>41599</v>
      </c>
      <c r="EQ6" s="610">
        <f t="shared" ca="1" si="696"/>
        <v>41600</v>
      </c>
      <c r="ER6" s="610">
        <f t="shared" ca="1" si="696"/>
        <v>41601</v>
      </c>
      <c r="ES6" s="610">
        <f t="shared" ca="1" si="696"/>
        <v>41602</v>
      </c>
      <c r="ET6" s="610">
        <f t="shared" ca="1" si="696"/>
        <v>41603</v>
      </c>
      <c r="EU6" s="610">
        <f t="shared" ca="1" si="696"/>
        <v>41604</v>
      </c>
      <c r="EV6" s="610">
        <f t="shared" ca="1" si="696"/>
        <v>41605</v>
      </c>
      <c r="EW6" s="610">
        <f t="shared" ca="1" si="696"/>
        <v>41606</v>
      </c>
      <c r="EX6" s="610">
        <f t="shared" ca="1" si="696"/>
        <v>41607</v>
      </c>
      <c r="EY6" s="610">
        <f t="shared" ca="1" si="696"/>
        <v>41608</v>
      </c>
      <c r="EZ6" s="610">
        <f t="shared" ca="1" si="696"/>
        <v>41609</v>
      </c>
      <c r="FA6" s="610">
        <f t="shared" ca="1" si="696"/>
        <v>41610</v>
      </c>
      <c r="FB6" s="610">
        <f t="shared" ca="1" si="696"/>
        <v>41611</v>
      </c>
      <c r="FC6" s="610">
        <f t="shared" ca="1" si="696"/>
        <v>41612</v>
      </c>
      <c r="FD6" s="610">
        <f t="shared" ca="1" si="696"/>
        <v>41613</v>
      </c>
      <c r="FE6" s="610">
        <f t="shared" ca="1" si="696"/>
        <v>41614</v>
      </c>
      <c r="FF6" s="610">
        <f t="shared" ca="1" si="696"/>
        <v>41615</v>
      </c>
      <c r="FG6" s="610">
        <f t="shared" ca="1" si="696"/>
        <v>41616</v>
      </c>
      <c r="FH6" s="610">
        <f t="shared" ca="1" si="696"/>
        <v>41617</v>
      </c>
      <c r="FI6" s="610">
        <f t="shared" ca="1" si="696"/>
        <v>41618</v>
      </c>
      <c r="FJ6" s="610">
        <f t="shared" ca="1" si="696"/>
        <v>41619</v>
      </c>
      <c r="FK6" s="610">
        <f t="shared" ca="1" si="696"/>
        <v>41620</v>
      </c>
      <c r="FL6" s="610">
        <f t="shared" ca="1" si="696"/>
        <v>41621</v>
      </c>
      <c r="FM6" s="610">
        <f t="shared" ca="1" si="696"/>
        <v>41622</v>
      </c>
      <c r="FN6" s="610">
        <f t="shared" ca="1" si="696"/>
        <v>41623</v>
      </c>
      <c r="FO6" s="610">
        <f t="shared" ca="1" si="696"/>
        <v>41624</v>
      </c>
      <c r="FP6" s="610">
        <f t="shared" ca="1" si="696"/>
        <v>41625</v>
      </c>
      <c r="FQ6" s="610">
        <f t="shared" ca="1" si="696"/>
        <v>41626</v>
      </c>
      <c r="FR6" s="610">
        <f t="shared" ca="1" si="696"/>
        <v>41627</v>
      </c>
      <c r="FS6" s="610">
        <f t="shared" ca="1" si="696"/>
        <v>41628</v>
      </c>
      <c r="FT6" s="610">
        <f t="shared" ca="1" si="696"/>
        <v>41629</v>
      </c>
      <c r="FU6" s="610">
        <f t="shared" ca="1" si="696"/>
        <v>41630</v>
      </c>
      <c r="FV6" s="610">
        <f t="shared" ca="1" si="696"/>
        <v>41631</v>
      </c>
      <c r="FW6" s="610">
        <f t="shared" ca="1" si="696"/>
        <v>41632</v>
      </c>
      <c r="FX6" s="610">
        <f t="shared" ca="1" si="696"/>
        <v>41633</v>
      </c>
      <c r="FY6" s="610">
        <f t="shared" ca="1" si="696"/>
        <v>41634</v>
      </c>
      <c r="FZ6" s="610">
        <f t="shared" ca="1" si="696"/>
        <v>41635</v>
      </c>
      <c r="GA6" s="610">
        <f t="shared" ca="1" si="696"/>
        <v>41636</v>
      </c>
      <c r="GB6" s="610">
        <f t="shared" ca="1" si="696"/>
        <v>41637</v>
      </c>
      <c r="GC6" s="610">
        <f t="shared" ca="1" si="696"/>
        <v>41638</v>
      </c>
      <c r="GD6" s="610">
        <f t="shared" ca="1" si="696"/>
        <v>41639</v>
      </c>
      <c r="GE6" s="610">
        <f t="shared" ca="1" si="696"/>
        <v>41640</v>
      </c>
      <c r="GF6" s="610">
        <f t="shared" ca="1" si="696"/>
        <v>41641</v>
      </c>
      <c r="GG6" s="610">
        <f t="shared" ca="1" si="696"/>
        <v>41642</v>
      </c>
      <c r="GH6" s="610">
        <f t="shared" ca="1" si="696"/>
        <v>41643</v>
      </c>
      <c r="GI6" s="610">
        <f t="shared" ca="1" si="696"/>
        <v>41644</v>
      </c>
      <c r="GJ6" s="610">
        <f t="shared" ca="1" si="696"/>
        <v>41645</v>
      </c>
      <c r="GK6" s="610">
        <f t="shared" ca="1" si="696"/>
        <v>41646</v>
      </c>
      <c r="GL6" s="610">
        <f t="shared" ca="1" si="696"/>
        <v>41647</v>
      </c>
      <c r="GM6" s="610">
        <f t="shared" ca="1" si="696"/>
        <v>41648</v>
      </c>
      <c r="GN6" s="610">
        <f t="shared" ca="1" si="696"/>
        <v>41649</v>
      </c>
      <c r="GO6" s="610">
        <f t="shared" ca="1" si="696"/>
        <v>41650</v>
      </c>
      <c r="GP6" s="610">
        <f t="shared" ca="1" si="696"/>
        <v>41651</v>
      </c>
      <c r="GQ6" s="610">
        <f t="shared" ca="1" si="696"/>
        <v>41652</v>
      </c>
      <c r="GR6" s="610">
        <f t="shared" ca="1" si="696"/>
        <v>41653</v>
      </c>
      <c r="GS6" s="610">
        <f t="shared" ca="1" si="696"/>
        <v>41654</v>
      </c>
      <c r="GT6" s="610">
        <f t="shared" ca="1" si="696"/>
        <v>41655</v>
      </c>
      <c r="GU6" s="610">
        <f t="shared" ca="1" si="696"/>
        <v>41656</v>
      </c>
      <c r="GV6" s="610">
        <f t="shared" ref="GV6:JG6" ca="1" si="697">GU$6+1</f>
        <v>41657</v>
      </c>
      <c r="GW6" s="610">
        <f t="shared" ca="1" si="697"/>
        <v>41658</v>
      </c>
      <c r="GX6" s="610">
        <f t="shared" ca="1" si="697"/>
        <v>41659</v>
      </c>
      <c r="GY6" s="610">
        <f t="shared" ca="1" si="697"/>
        <v>41660</v>
      </c>
      <c r="GZ6" s="610">
        <f t="shared" ca="1" si="697"/>
        <v>41661</v>
      </c>
      <c r="HA6" s="610">
        <f t="shared" ca="1" si="697"/>
        <v>41662</v>
      </c>
      <c r="HB6" s="610">
        <f t="shared" ca="1" si="697"/>
        <v>41663</v>
      </c>
      <c r="HC6" s="610">
        <f t="shared" ca="1" si="697"/>
        <v>41664</v>
      </c>
      <c r="HD6" s="610">
        <f t="shared" ca="1" si="697"/>
        <v>41665</v>
      </c>
      <c r="HE6" s="610">
        <f t="shared" ca="1" si="697"/>
        <v>41666</v>
      </c>
      <c r="HF6" s="610">
        <f t="shared" ca="1" si="697"/>
        <v>41667</v>
      </c>
      <c r="HG6" s="610">
        <f t="shared" ca="1" si="697"/>
        <v>41668</v>
      </c>
      <c r="HH6" s="610">
        <f t="shared" ca="1" si="697"/>
        <v>41669</v>
      </c>
      <c r="HI6" s="610">
        <f t="shared" ca="1" si="697"/>
        <v>41670</v>
      </c>
      <c r="HJ6" s="610">
        <f t="shared" ca="1" si="697"/>
        <v>41671</v>
      </c>
      <c r="HK6" s="610">
        <f t="shared" ca="1" si="697"/>
        <v>41672</v>
      </c>
      <c r="HL6" s="610">
        <f t="shared" ca="1" si="697"/>
        <v>41673</v>
      </c>
      <c r="HM6" s="610">
        <f t="shared" ca="1" si="697"/>
        <v>41674</v>
      </c>
      <c r="HN6" s="610">
        <f t="shared" ca="1" si="697"/>
        <v>41675</v>
      </c>
      <c r="HO6" s="610">
        <f t="shared" ca="1" si="697"/>
        <v>41676</v>
      </c>
      <c r="HP6" s="610">
        <f t="shared" ca="1" si="697"/>
        <v>41677</v>
      </c>
      <c r="HQ6" s="610">
        <f t="shared" ca="1" si="697"/>
        <v>41678</v>
      </c>
      <c r="HR6" s="610">
        <f t="shared" ca="1" si="697"/>
        <v>41679</v>
      </c>
      <c r="HS6" s="610">
        <f t="shared" ca="1" si="697"/>
        <v>41680</v>
      </c>
      <c r="HT6" s="610">
        <f t="shared" ca="1" si="697"/>
        <v>41681</v>
      </c>
      <c r="HU6" s="610">
        <f t="shared" ca="1" si="697"/>
        <v>41682</v>
      </c>
      <c r="HV6" s="610">
        <f t="shared" ca="1" si="697"/>
        <v>41683</v>
      </c>
      <c r="HW6" s="610">
        <f t="shared" ca="1" si="697"/>
        <v>41684</v>
      </c>
      <c r="HX6" s="610">
        <f t="shared" ca="1" si="697"/>
        <v>41685</v>
      </c>
      <c r="HY6" s="610">
        <f t="shared" ca="1" si="697"/>
        <v>41686</v>
      </c>
      <c r="HZ6" s="610">
        <f t="shared" ca="1" si="697"/>
        <v>41687</v>
      </c>
      <c r="IA6" s="610">
        <f t="shared" ca="1" si="697"/>
        <v>41688</v>
      </c>
      <c r="IB6" s="610">
        <f t="shared" ca="1" si="697"/>
        <v>41689</v>
      </c>
      <c r="IC6" s="610">
        <f t="shared" ca="1" si="697"/>
        <v>41690</v>
      </c>
      <c r="ID6" s="610">
        <f t="shared" ca="1" si="697"/>
        <v>41691</v>
      </c>
      <c r="IE6" s="610">
        <f t="shared" ca="1" si="697"/>
        <v>41692</v>
      </c>
      <c r="IF6" s="610">
        <f t="shared" ca="1" si="697"/>
        <v>41693</v>
      </c>
      <c r="IG6" s="610">
        <f t="shared" ca="1" si="697"/>
        <v>41694</v>
      </c>
      <c r="IH6" s="610">
        <f t="shared" ca="1" si="697"/>
        <v>41695</v>
      </c>
      <c r="II6" s="610">
        <f t="shared" ca="1" si="697"/>
        <v>41696</v>
      </c>
      <c r="IJ6" s="610">
        <f t="shared" ca="1" si="697"/>
        <v>41697</v>
      </c>
      <c r="IK6" s="610">
        <f t="shared" ca="1" si="697"/>
        <v>41698</v>
      </c>
      <c r="IL6" s="610">
        <f t="shared" ca="1" si="697"/>
        <v>41699</v>
      </c>
      <c r="IM6" s="610">
        <f t="shared" ca="1" si="697"/>
        <v>41700</v>
      </c>
      <c r="IN6" s="610">
        <f t="shared" ca="1" si="697"/>
        <v>41701</v>
      </c>
      <c r="IO6" s="610">
        <f t="shared" ca="1" si="697"/>
        <v>41702</v>
      </c>
      <c r="IP6" s="610">
        <f t="shared" ca="1" si="697"/>
        <v>41703</v>
      </c>
      <c r="IQ6" s="610">
        <f t="shared" ca="1" si="697"/>
        <v>41704</v>
      </c>
      <c r="IR6" s="610">
        <f t="shared" ca="1" si="697"/>
        <v>41705</v>
      </c>
      <c r="IS6" s="610">
        <f t="shared" ca="1" si="697"/>
        <v>41706</v>
      </c>
      <c r="IT6" s="610">
        <f t="shared" ca="1" si="697"/>
        <v>41707</v>
      </c>
      <c r="IU6" s="610">
        <f t="shared" ca="1" si="697"/>
        <v>41708</v>
      </c>
      <c r="IV6" s="610">
        <f t="shared" ca="1" si="697"/>
        <v>41709</v>
      </c>
      <c r="IW6" s="610">
        <f t="shared" ca="1" si="697"/>
        <v>41710</v>
      </c>
      <c r="IX6" s="610">
        <f t="shared" ca="1" si="697"/>
        <v>41711</v>
      </c>
      <c r="IY6" s="610">
        <f t="shared" ca="1" si="697"/>
        <v>41712</v>
      </c>
      <c r="IZ6" s="610">
        <f t="shared" ca="1" si="697"/>
        <v>41713</v>
      </c>
      <c r="JA6" s="610">
        <f t="shared" ca="1" si="697"/>
        <v>41714</v>
      </c>
      <c r="JB6" s="610">
        <f t="shared" ca="1" si="697"/>
        <v>41715</v>
      </c>
      <c r="JC6" s="610">
        <f t="shared" ca="1" si="697"/>
        <v>41716</v>
      </c>
      <c r="JD6" s="610">
        <f t="shared" ca="1" si="697"/>
        <v>41717</v>
      </c>
      <c r="JE6" s="610">
        <f t="shared" ca="1" si="697"/>
        <v>41718</v>
      </c>
      <c r="JF6" s="610">
        <f t="shared" ca="1" si="697"/>
        <v>41719</v>
      </c>
      <c r="JG6" s="610">
        <f t="shared" ca="1" si="697"/>
        <v>41720</v>
      </c>
      <c r="JH6" s="610">
        <f t="shared" ref="JH6:LS6" ca="1" si="698">JG$6+1</f>
        <v>41721</v>
      </c>
      <c r="JI6" s="610">
        <f t="shared" ca="1" si="698"/>
        <v>41722</v>
      </c>
      <c r="JJ6" s="610">
        <f t="shared" ca="1" si="698"/>
        <v>41723</v>
      </c>
      <c r="JK6" s="610">
        <f t="shared" ca="1" si="698"/>
        <v>41724</v>
      </c>
      <c r="JL6" s="610">
        <f t="shared" ca="1" si="698"/>
        <v>41725</v>
      </c>
      <c r="JM6" s="610">
        <f t="shared" ca="1" si="698"/>
        <v>41726</v>
      </c>
      <c r="JN6" s="610">
        <f t="shared" ca="1" si="698"/>
        <v>41727</v>
      </c>
      <c r="JO6" s="610">
        <f t="shared" ca="1" si="698"/>
        <v>41728</v>
      </c>
      <c r="JP6" s="610">
        <f t="shared" ca="1" si="698"/>
        <v>41729</v>
      </c>
      <c r="JQ6" s="610">
        <f t="shared" ca="1" si="698"/>
        <v>41730</v>
      </c>
      <c r="JR6" s="610">
        <f t="shared" ca="1" si="698"/>
        <v>41731</v>
      </c>
      <c r="JS6" s="610">
        <f t="shared" ca="1" si="698"/>
        <v>41732</v>
      </c>
      <c r="JT6" s="610">
        <f t="shared" ca="1" si="698"/>
        <v>41733</v>
      </c>
      <c r="JU6" s="610">
        <f t="shared" ca="1" si="698"/>
        <v>41734</v>
      </c>
      <c r="JV6" s="610">
        <f t="shared" ca="1" si="698"/>
        <v>41735</v>
      </c>
      <c r="JW6" s="610">
        <f t="shared" ca="1" si="698"/>
        <v>41736</v>
      </c>
      <c r="JX6" s="610">
        <f t="shared" ca="1" si="698"/>
        <v>41737</v>
      </c>
      <c r="JY6" s="610">
        <f t="shared" ca="1" si="698"/>
        <v>41738</v>
      </c>
      <c r="JZ6" s="610">
        <f t="shared" ca="1" si="698"/>
        <v>41739</v>
      </c>
      <c r="KA6" s="610">
        <f t="shared" ca="1" si="698"/>
        <v>41740</v>
      </c>
      <c r="KB6" s="610">
        <f t="shared" ca="1" si="698"/>
        <v>41741</v>
      </c>
      <c r="KC6" s="610">
        <f t="shared" ca="1" si="698"/>
        <v>41742</v>
      </c>
      <c r="KD6" s="610">
        <f t="shared" ca="1" si="698"/>
        <v>41743</v>
      </c>
      <c r="KE6" s="610">
        <f t="shared" ca="1" si="698"/>
        <v>41744</v>
      </c>
      <c r="KF6" s="610">
        <f t="shared" ca="1" si="698"/>
        <v>41745</v>
      </c>
      <c r="KG6" s="610">
        <f t="shared" ca="1" si="698"/>
        <v>41746</v>
      </c>
      <c r="KH6" s="610">
        <f t="shared" ca="1" si="698"/>
        <v>41747</v>
      </c>
      <c r="KI6" s="610">
        <f t="shared" ca="1" si="698"/>
        <v>41748</v>
      </c>
      <c r="KJ6" s="610">
        <f t="shared" ca="1" si="698"/>
        <v>41749</v>
      </c>
      <c r="KK6" s="610">
        <f t="shared" ca="1" si="698"/>
        <v>41750</v>
      </c>
      <c r="KL6" s="610">
        <f t="shared" ca="1" si="698"/>
        <v>41751</v>
      </c>
      <c r="KM6" s="610">
        <f t="shared" ca="1" si="698"/>
        <v>41752</v>
      </c>
      <c r="KN6" s="610">
        <f t="shared" ca="1" si="698"/>
        <v>41753</v>
      </c>
      <c r="KO6" s="610">
        <f t="shared" ca="1" si="698"/>
        <v>41754</v>
      </c>
      <c r="KP6" s="610">
        <f t="shared" ca="1" si="698"/>
        <v>41755</v>
      </c>
      <c r="KQ6" s="610">
        <f t="shared" ca="1" si="698"/>
        <v>41756</v>
      </c>
      <c r="KR6" s="610">
        <f t="shared" ca="1" si="698"/>
        <v>41757</v>
      </c>
      <c r="KS6" s="610">
        <f t="shared" ca="1" si="698"/>
        <v>41758</v>
      </c>
      <c r="KT6" s="610">
        <f t="shared" ca="1" si="698"/>
        <v>41759</v>
      </c>
      <c r="KU6" s="610">
        <f t="shared" ca="1" si="698"/>
        <v>41760</v>
      </c>
      <c r="KV6" s="610">
        <f t="shared" ca="1" si="698"/>
        <v>41761</v>
      </c>
      <c r="KW6" s="610">
        <f t="shared" ca="1" si="698"/>
        <v>41762</v>
      </c>
      <c r="KX6" s="610">
        <f t="shared" ca="1" si="698"/>
        <v>41763</v>
      </c>
      <c r="KY6" s="610">
        <f t="shared" ca="1" si="698"/>
        <v>41764</v>
      </c>
      <c r="KZ6" s="610">
        <f t="shared" ca="1" si="698"/>
        <v>41765</v>
      </c>
      <c r="LA6" s="610">
        <f t="shared" ca="1" si="698"/>
        <v>41766</v>
      </c>
      <c r="LB6" s="610">
        <f t="shared" ca="1" si="698"/>
        <v>41767</v>
      </c>
      <c r="LC6" s="610">
        <f t="shared" ca="1" si="698"/>
        <v>41768</v>
      </c>
      <c r="LD6" s="610">
        <f t="shared" ca="1" si="698"/>
        <v>41769</v>
      </c>
      <c r="LE6" s="610">
        <f t="shared" ca="1" si="698"/>
        <v>41770</v>
      </c>
      <c r="LF6" s="610">
        <f t="shared" ca="1" si="698"/>
        <v>41771</v>
      </c>
      <c r="LG6" s="610">
        <f t="shared" ca="1" si="698"/>
        <v>41772</v>
      </c>
      <c r="LH6" s="610">
        <f t="shared" ca="1" si="698"/>
        <v>41773</v>
      </c>
      <c r="LI6" s="610">
        <f t="shared" ca="1" si="698"/>
        <v>41774</v>
      </c>
      <c r="LJ6" s="610">
        <f t="shared" ca="1" si="698"/>
        <v>41775</v>
      </c>
      <c r="LK6" s="610">
        <f t="shared" ca="1" si="698"/>
        <v>41776</v>
      </c>
      <c r="LL6" s="610">
        <f t="shared" ca="1" si="698"/>
        <v>41777</v>
      </c>
      <c r="LM6" s="610">
        <f t="shared" ca="1" si="698"/>
        <v>41778</v>
      </c>
      <c r="LN6" s="610">
        <f t="shared" ca="1" si="698"/>
        <v>41779</v>
      </c>
      <c r="LO6" s="610">
        <f t="shared" ca="1" si="698"/>
        <v>41780</v>
      </c>
      <c r="LP6" s="610">
        <f t="shared" ca="1" si="698"/>
        <v>41781</v>
      </c>
      <c r="LQ6" s="610">
        <f t="shared" ca="1" si="698"/>
        <v>41782</v>
      </c>
      <c r="LR6" s="610">
        <f t="shared" ca="1" si="698"/>
        <v>41783</v>
      </c>
      <c r="LS6" s="610">
        <f t="shared" ca="1" si="698"/>
        <v>41784</v>
      </c>
      <c r="LT6" s="610">
        <f t="shared" ref="LT6:OE6" ca="1" si="699">LS$6+1</f>
        <v>41785</v>
      </c>
      <c r="LU6" s="610">
        <f t="shared" ca="1" si="699"/>
        <v>41786</v>
      </c>
      <c r="LV6" s="610">
        <f t="shared" ca="1" si="699"/>
        <v>41787</v>
      </c>
      <c r="LW6" s="610">
        <f t="shared" ca="1" si="699"/>
        <v>41788</v>
      </c>
      <c r="LX6" s="610">
        <f t="shared" ca="1" si="699"/>
        <v>41789</v>
      </c>
      <c r="LY6" s="610">
        <f t="shared" ca="1" si="699"/>
        <v>41790</v>
      </c>
      <c r="LZ6" s="610">
        <f t="shared" ca="1" si="699"/>
        <v>41791</v>
      </c>
      <c r="MA6" s="610">
        <f t="shared" ca="1" si="699"/>
        <v>41792</v>
      </c>
      <c r="MB6" s="610">
        <f t="shared" ca="1" si="699"/>
        <v>41793</v>
      </c>
      <c r="MC6" s="610">
        <f t="shared" ca="1" si="699"/>
        <v>41794</v>
      </c>
      <c r="MD6" s="610">
        <f t="shared" ca="1" si="699"/>
        <v>41795</v>
      </c>
      <c r="ME6" s="610">
        <f t="shared" ca="1" si="699"/>
        <v>41796</v>
      </c>
      <c r="MF6" s="610">
        <f t="shared" ca="1" si="699"/>
        <v>41797</v>
      </c>
      <c r="MG6" s="610">
        <f t="shared" ca="1" si="699"/>
        <v>41798</v>
      </c>
      <c r="MH6" s="610">
        <f t="shared" ca="1" si="699"/>
        <v>41799</v>
      </c>
      <c r="MI6" s="610">
        <f t="shared" ca="1" si="699"/>
        <v>41800</v>
      </c>
      <c r="MJ6" s="610">
        <f t="shared" ca="1" si="699"/>
        <v>41801</v>
      </c>
      <c r="MK6" s="610">
        <f t="shared" ca="1" si="699"/>
        <v>41802</v>
      </c>
      <c r="ML6" s="610">
        <f t="shared" ca="1" si="699"/>
        <v>41803</v>
      </c>
      <c r="MM6" s="610">
        <f t="shared" ca="1" si="699"/>
        <v>41804</v>
      </c>
      <c r="MN6" s="610">
        <f t="shared" ca="1" si="699"/>
        <v>41805</v>
      </c>
      <c r="MO6" s="610">
        <f t="shared" ca="1" si="699"/>
        <v>41806</v>
      </c>
      <c r="MP6" s="610">
        <f t="shared" ca="1" si="699"/>
        <v>41807</v>
      </c>
      <c r="MQ6" s="610">
        <f t="shared" ca="1" si="699"/>
        <v>41808</v>
      </c>
      <c r="MR6" s="610">
        <f t="shared" ca="1" si="699"/>
        <v>41809</v>
      </c>
      <c r="MS6" s="610">
        <f t="shared" ca="1" si="699"/>
        <v>41810</v>
      </c>
      <c r="MT6" s="610">
        <f t="shared" ca="1" si="699"/>
        <v>41811</v>
      </c>
      <c r="MU6" s="610">
        <f t="shared" ca="1" si="699"/>
        <v>41812</v>
      </c>
      <c r="MV6" s="610">
        <f t="shared" ca="1" si="699"/>
        <v>41813</v>
      </c>
      <c r="MW6" s="610">
        <f t="shared" ca="1" si="699"/>
        <v>41814</v>
      </c>
      <c r="MX6" s="610">
        <f t="shared" ca="1" si="699"/>
        <v>41815</v>
      </c>
      <c r="MY6" s="610">
        <f t="shared" ca="1" si="699"/>
        <v>41816</v>
      </c>
      <c r="MZ6" s="610">
        <f t="shared" ca="1" si="699"/>
        <v>41817</v>
      </c>
      <c r="NA6" s="610">
        <f t="shared" ca="1" si="699"/>
        <v>41818</v>
      </c>
      <c r="NB6" s="610">
        <f t="shared" ca="1" si="699"/>
        <v>41819</v>
      </c>
      <c r="NC6" s="610">
        <f t="shared" ca="1" si="699"/>
        <v>41820</v>
      </c>
      <c r="ND6" s="610">
        <f t="shared" ca="1" si="699"/>
        <v>41821</v>
      </c>
      <c r="NE6" s="610">
        <f t="shared" ca="1" si="699"/>
        <v>41822</v>
      </c>
      <c r="NF6" s="610">
        <f t="shared" ca="1" si="699"/>
        <v>41823</v>
      </c>
      <c r="NG6" s="610">
        <f t="shared" ca="1" si="699"/>
        <v>41824</v>
      </c>
      <c r="NH6" s="610">
        <f t="shared" ca="1" si="699"/>
        <v>41825</v>
      </c>
      <c r="NI6" s="610">
        <f t="shared" ca="1" si="699"/>
        <v>41826</v>
      </c>
      <c r="NJ6" s="610">
        <f t="shared" ca="1" si="699"/>
        <v>41827</v>
      </c>
      <c r="NK6" s="610">
        <f t="shared" ca="1" si="699"/>
        <v>41828</v>
      </c>
      <c r="NL6" s="610">
        <f t="shared" ca="1" si="699"/>
        <v>41829</v>
      </c>
      <c r="NM6" s="610">
        <f t="shared" ca="1" si="699"/>
        <v>41830</v>
      </c>
      <c r="NN6" s="610">
        <f t="shared" ca="1" si="699"/>
        <v>41831</v>
      </c>
      <c r="NO6" s="610">
        <f t="shared" ca="1" si="699"/>
        <v>41832</v>
      </c>
      <c r="NP6" s="610">
        <f t="shared" ca="1" si="699"/>
        <v>41833</v>
      </c>
      <c r="NQ6" s="610">
        <f t="shared" ca="1" si="699"/>
        <v>41834</v>
      </c>
      <c r="NR6" s="610">
        <f t="shared" ca="1" si="699"/>
        <v>41835</v>
      </c>
      <c r="NS6" s="610">
        <f t="shared" ca="1" si="699"/>
        <v>41836</v>
      </c>
      <c r="NT6" s="610">
        <f t="shared" ca="1" si="699"/>
        <v>41837</v>
      </c>
      <c r="NU6" s="610">
        <f t="shared" ca="1" si="699"/>
        <v>41838</v>
      </c>
      <c r="NV6" s="610">
        <f t="shared" ca="1" si="699"/>
        <v>41839</v>
      </c>
      <c r="NW6" s="610">
        <f t="shared" ca="1" si="699"/>
        <v>41840</v>
      </c>
      <c r="NX6" s="610">
        <f t="shared" ca="1" si="699"/>
        <v>41841</v>
      </c>
      <c r="NY6" s="610">
        <f t="shared" ca="1" si="699"/>
        <v>41842</v>
      </c>
      <c r="NZ6" s="610">
        <f t="shared" ca="1" si="699"/>
        <v>41843</v>
      </c>
      <c r="OA6" s="610">
        <f t="shared" ca="1" si="699"/>
        <v>41844</v>
      </c>
      <c r="OB6" s="610">
        <f t="shared" ca="1" si="699"/>
        <v>41845</v>
      </c>
      <c r="OC6" s="610">
        <f t="shared" ca="1" si="699"/>
        <v>41846</v>
      </c>
      <c r="OD6" s="610">
        <f t="shared" ca="1" si="699"/>
        <v>41847</v>
      </c>
      <c r="OE6" s="610">
        <f t="shared" ca="1" si="699"/>
        <v>41848</v>
      </c>
      <c r="OF6" s="610">
        <f t="shared" ref="OF6:QQ6" ca="1" si="700">OE$6+1</f>
        <v>41849</v>
      </c>
      <c r="OG6" s="610">
        <f t="shared" ca="1" si="700"/>
        <v>41850</v>
      </c>
      <c r="OH6" s="610">
        <f t="shared" ca="1" si="700"/>
        <v>41851</v>
      </c>
      <c r="OI6" s="610">
        <f t="shared" ca="1" si="700"/>
        <v>41852</v>
      </c>
      <c r="OJ6" s="610">
        <f t="shared" ca="1" si="700"/>
        <v>41853</v>
      </c>
      <c r="OK6" s="610">
        <f t="shared" ca="1" si="700"/>
        <v>41854</v>
      </c>
      <c r="OL6" s="610">
        <f t="shared" ca="1" si="700"/>
        <v>41855</v>
      </c>
      <c r="OM6" s="610">
        <f t="shared" ca="1" si="700"/>
        <v>41856</v>
      </c>
      <c r="ON6" s="610">
        <f t="shared" ca="1" si="700"/>
        <v>41857</v>
      </c>
      <c r="OO6" s="610">
        <f t="shared" ca="1" si="700"/>
        <v>41858</v>
      </c>
      <c r="OP6" s="610">
        <f t="shared" ca="1" si="700"/>
        <v>41859</v>
      </c>
      <c r="OQ6" s="610">
        <f t="shared" ca="1" si="700"/>
        <v>41860</v>
      </c>
      <c r="OR6" s="610">
        <f t="shared" ca="1" si="700"/>
        <v>41861</v>
      </c>
      <c r="OS6" s="610">
        <f t="shared" ca="1" si="700"/>
        <v>41862</v>
      </c>
      <c r="OT6" s="610">
        <f t="shared" ca="1" si="700"/>
        <v>41863</v>
      </c>
      <c r="OU6" s="610">
        <f t="shared" ca="1" si="700"/>
        <v>41864</v>
      </c>
      <c r="OV6" s="610">
        <f t="shared" ca="1" si="700"/>
        <v>41865</v>
      </c>
      <c r="OW6" s="610">
        <f t="shared" ca="1" si="700"/>
        <v>41866</v>
      </c>
      <c r="OX6" s="610">
        <f t="shared" ca="1" si="700"/>
        <v>41867</v>
      </c>
      <c r="OY6" s="610">
        <f t="shared" ca="1" si="700"/>
        <v>41868</v>
      </c>
      <c r="OZ6" s="610">
        <f t="shared" ca="1" si="700"/>
        <v>41869</v>
      </c>
      <c r="PA6" s="610">
        <f t="shared" ca="1" si="700"/>
        <v>41870</v>
      </c>
      <c r="PB6" s="610">
        <f t="shared" ca="1" si="700"/>
        <v>41871</v>
      </c>
      <c r="PC6" s="610">
        <f t="shared" ca="1" si="700"/>
        <v>41872</v>
      </c>
      <c r="PD6" s="610">
        <f t="shared" ca="1" si="700"/>
        <v>41873</v>
      </c>
      <c r="PE6" s="610">
        <f t="shared" ca="1" si="700"/>
        <v>41874</v>
      </c>
      <c r="PF6" s="610">
        <f t="shared" ca="1" si="700"/>
        <v>41875</v>
      </c>
      <c r="PG6" s="610">
        <f t="shared" ca="1" si="700"/>
        <v>41876</v>
      </c>
      <c r="PH6" s="610">
        <f t="shared" ca="1" si="700"/>
        <v>41877</v>
      </c>
      <c r="PI6" s="610">
        <f t="shared" ca="1" si="700"/>
        <v>41878</v>
      </c>
      <c r="PJ6" s="610">
        <f t="shared" ca="1" si="700"/>
        <v>41879</v>
      </c>
      <c r="PK6" s="610">
        <f t="shared" ca="1" si="700"/>
        <v>41880</v>
      </c>
      <c r="PL6" s="610">
        <f t="shared" ca="1" si="700"/>
        <v>41881</v>
      </c>
      <c r="PM6" s="610">
        <f t="shared" ca="1" si="700"/>
        <v>41882</v>
      </c>
      <c r="PN6" s="610">
        <f t="shared" ca="1" si="700"/>
        <v>41883</v>
      </c>
      <c r="PO6" s="610">
        <f t="shared" ca="1" si="700"/>
        <v>41884</v>
      </c>
      <c r="PP6" s="610">
        <f t="shared" ca="1" si="700"/>
        <v>41885</v>
      </c>
      <c r="PQ6" s="610">
        <f t="shared" ca="1" si="700"/>
        <v>41886</v>
      </c>
      <c r="PR6" s="610">
        <f t="shared" ca="1" si="700"/>
        <v>41887</v>
      </c>
      <c r="PS6" s="610">
        <f t="shared" ca="1" si="700"/>
        <v>41888</v>
      </c>
      <c r="PT6" s="610">
        <f t="shared" ca="1" si="700"/>
        <v>41889</v>
      </c>
      <c r="PU6" s="610">
        <f t="shared" ca="1" si="700"/>
        <v>41890</v>
      </c>
      <c r="PV6" s="610">
        <f t="shared" ca="1" si="700"/>
        <v>41891</v>
      </c>
      <c r="PW6" s="610">
        <f t="shared" ca="1" si="700"/>
        <v>41892</v>
      </c>
      <c r="PX6" s="610">
        <f t="shared" ca="1" si="700"/>
        <v>41893</v>
      </c>
      <c r="PY6" s="610">
        <f t="shared" ca="1" si="700"/>
        <v>41894</v>
      </c>
      <c r="PZ6" s="610">
        <f t="shared" ca="1" si="700"/>
        <v>41895</v>
      </c>
      <c r="QA6" s="610">
        <f t="shared" ca="1" si="700"/>
        <v>41896</v>
      </c>
      <c r="QB6" s="610">
        <f t="shared" ca="1" si="700"/>
        <v>41897</v>
      </c>
      <c r="QC6" s="610">
        <f t="shared" ca="1" si="700"/>
        <v>41898</v>
      </c>
      <c r="QD6" s="610">
        <f t="shared" ca="1" si="700"/>
        <v>41899</v>
      </c>
      <c r="QE6" s="610">
        <f t="shared" ca="1" si="700"/>
        <v>41900</v>
      </c>
      <c r="QF6" s="610">
        <f t="shared" ca="1" si="700"/>
        <v>41901</v>
      </c>
      <c r="QG6" s="610">
        <f t="shared" ca="1" si="700"/>
        <v>41902</v>
      </c>
      <c r="QH6" s="610">
        <f t="shared" ca="1" si="700"/>
        <v>41903</v>
      </c>
      <c r="QI6" s="610">
        <f t="shared" ca="1" si="700"/>
        <v>41904</v>
      </c>
      <c r="QJ6" s="610">
        <f t="shared" ca="1" si="700"/>
        <v>41905</v>
      </c>
      <c r="QK6" s="610">
        <f t="shared" ca="1" si="700"/>
        <v>41906</v>
      </c>
      <c r="QL6" s="610">
        <f t="shared" ca="1" si="700"/>
        <v>41907</v>
      </c>
      <c r="QM6" s="610">
        <f t="shared" ca="1" si="700"/>
        <v>41908</v>
      </c>
      <c r="QN6" s="610">
        <f t="shared" ca="1" si="700"/>
        <v>41909</v>
      </c>
      <c r="QO6" s="610">
        <f t="shared" ca="1" si="700"/>
        <v>41910</v>
      </c>
      <c r="QP6" s="610">
        <f t="shared" ca="1" si="700"/>
        <v>41911</v>
      </c>
      <c r="QQ6" s="610">
        <f t="shared" ca="1" si="700"/>
        <v>41912</v>
      </c>
      <c r="QR6" s="610">
        <f t="shared" ref="QR6:TC6" ca="1" si="701">QQ$6+1</f>
        <v>41913</v>
      </c>
      <c r="QS6" s="610">
        <f t="shared" ca="1" si="701"/>
        <v>41914</v>
      </c>
      <c r="QT6" s="610">
        <f t="shared" ca="1" si="701"/>
        <v>41915</v>
      </c>
      <c r="QU6" s="610">
        <f t="shared" ca="1" si="701"/>
        <v>41916</v>
      </c>
      <c r="QV6" s="610">
        <f t="shared" ca="1" si="701"/>
        <v>41917</v>
      </c>
      <c r="QW6" s="610">
        <f t="shared" ca="1" si="701"/>
        <v>41918</v>
      </c>
      <c r="QX6" s="610">
        <f t="shared" ca="1" si="701"/>
        <v>41919</v>
      </c>
      <c r="QY6" s="610">
        <f t="shared" ca="1" si="701"/>
        <v>41920</v>
      </c>
      <c r="QZ6" s="610">
        <f t="shared" ca="1" si="701"/>
        <v>41921</v>
      </c>
      <c r="RA6" s="610">
        <f t="shared" ca="1" si="701"/>
        <v>41922</v>
      </c>
      <c r="RB6" s="610">
        <f t="shared" ca="1" si="701"/>
        <v>41923</v>
      </c>
      <c r="RC6" s="610">
        <f t="shared" ca="1" si="701"/>
        <v>41924</v>
      </c>
      <c r="RD6" s="610">
        <f t="shared" ca="1" si="701"/>
        <v>41925</v>
      </c>
      <c r="RE6" s="610">
        <f t="shared" ca="1" si="701"/>
        <v>41926</v>
      </c>
      <c r="RF6" s="610">
        <f t="shared" ca="1" si="701"/>
        <v>41927</v>
      </c>
      <c r="RG6" s="610">
        <f t="shared" ca="1" si="701"/>
        <v>41928</v>
      </c>
      <c r="RH6" s="610">
        <f t="shared" ca="1" si="701"/>
        <v>41929</v>
      </c>
      <c r="RI6" s="610">
        <f t="shared" ca="1" si="701"/>
        <v>41930</v>
      </c>
      <c r="RJ6" s="610">
        <f t="shared" ca="1" si="701"/>
        <v>41931</v>
      </c>
      <c r="RK6" s="610">
        <f t="shared" ca="1" si="701"/>
        <v>41932</v>
      </c>
      <c r="RL6" s="610">
        <f t="shared" ca="1" si="701"/>
        <v>41933</v>
      </c>
      <c r="RM6" s="610">
        <f t="shared" ca="1" si="701"/>
        <v>41934</v>
      </c>
      <c r="RN6" s="610">
        <f t="shared" ca="1" si="701"/>
        <v>41935</v>
      </c>
      <c r="RO6" s="610">
        <f t="shared" ca="1" si="701"/>
        <v>41936</v>
      </c>
      <c r="RP6" s="610">
        <f t="shared" ca="1" si="701"/>
        <v>41937</v>
      </c>
      <c r="RQ6" s="610">
        <f t="shared" ca="1" si="701"/>
        <v>41938</v>
      </c>
      <c r="RR6" s="610">
        <f t="shared" ca="1" si="701"/>
        <v>41939</v>
      </c>
      <c r="RS6" s="610">
        <f t="shared" ca="1" si="701"/>
        <v>41940</v>
      </c>
      <c r="RT6" s="610">
        <f t="shared" ca="1" si="701"/>
        <v>41941</v>
      </c>
      <c r="RU6" s="610">
        <f t="shared" ca="1" si="701"/>
        <v>41942</v>
      </c>
      <c r="RV6" s="610">
        <f t="shared" ca="1" si="701"/>
        <v>41943</v>
      </c>
      <c r="RW6" s="610">
        <f t="shared" ca="1" si="701"/>
        <v>41944</v>
      </c>
      <c r="RX6" s="610">
        <f t="shared" ca="1" si="701"/>
        <v>41945</v>
      </c>
      <c r="RY6" s="610">
        <f t="shared" ca="1" si="701"/>
        <v>41946</v>
      </c>
      <c r="RZ6" s="610">
        <f t="shared" ca="1" si="701"/>
        <v>41947</v>
      </c>
      <c r="SA6" s="610">
        <f t="shared" ca="1" si="701"/>
        <v>41948</v>
      </c>
      <c r="SB6" s="610">
        <f t="shared" ca="1" si="701"/>
        <v>41949</v>
      </c>
      <c r="SC6" s="610">
        <f t="shared" ca="1" si="701"/>
        <v>41950</v>
      </c>
      <c r="SD6" s="610">
        <f t="shared" ca="1" si="701"/>
        <v>41951</v>
      </c>
      <c r="SE6" s="610">
        <f t="shared" ca="1" si="701"/>
        <v>41952</v>
      </c>
      <c r="SF6" s="610">
        <f t="shared" ca="1" si="701"/>
        <v>41953</v>
      </c>
      <c r="SG6" s="610">
        <f t="shared" ca="1" si="701"/>
        <v>41954</v>
      </c>
      <c r="SH6" s="610">
        <f t="shared" ca="1" si="701"/>
        <v>41955</v>
      </c>
      <c r="SI6" s="610">
        <f t="shared" ca="1" si="701"/>
        <v>41956</v>
      </c>
      <c r="SJ6" s="610">
        <f t="shared" ca="1" si="701"/>
        <v>41957</v>
      </c>
      <c r="SK6" s="610">
        <f t="shared" ca="1" si="701"/>
        <v>41958</v>
      </c>
      <c r="SL6" s="610">
        <f t="shared" ca="1" si="701"/>
        <v>41959</v>
      </c>
      <c r="SM6" s="610">
        <f t="shared" ca="1" si="701"/>
        <v>41960</v>
      </c>
      <c r="SN6" s="610">
        <f t="shared" ca="1" si="701"/>
        <v>41961</v>
      </c>
      <c r="SO6" s="610">
        <f t="shared" ca="1" si="701"/>
        <v>41962</v>
      </c>
      <c r="SP6" s="610">
        <f t="shared" ca="1" si="701"/>
        <v>41963</v>
      </c>
      <c r="SQ6" s="610">
        <f t="shared" ca="1" si="701"/>
        <v>41964</v>
      </c>
      <c r="SR6" s="610">
        <f t="shared" ca="1" si="701"/>
        <v>41965</v>
      </c>
      <c r="SS6" s="610">
        <f t="shared" ca="1" si="701"/>
        <v>41966</v>
      </c>
      <c r="ST6" s="610">
        <f t="shared" ca="1" si="701"/>
        <v>41967</v>
      </c>
      <c r="SU6" s="610">
        <f t="shared" ca="1" si="701"/>
        <v>41968</v>
      </c>
      <c r="SV6" s="610">
        <f t="shared" ca="1" si="701"/>
        <v>41969</v>
      </c>
      <c r="SW6" s="610">
        <f t="shared" ca="1" si="701"/>
        <v>41970</v>
      </c>
      <c r="SX6" s="610">
        <f t="shared" ca="1" si="701"/>
        <v>41971</v>
      </c>
      <c r="SY6" s="610">
        <f t="shared" ca="1" si="701"/>
        <v>41972</v>
      </c>
      <c r="SZ6" s="610">
        <f t="shared" ca="1" si="701"/>
        <v>41973</v>
      </c>
      <c r="TA6" s="610">
        <f t="shared" ca="1" si="701"/>
        <v>41974</v>
      </c>
      <c r="TB6" s="610">
        <f t="shared" ca="1" si="701"/>
        <v>41975</v>
      </c>
      <c r="TC6" s="610">
        <f t="shared" ca="1" si="701"/>
        <v>41976</v>
      </c>
      <c r="TD6" s="610">
        <f t="shared" ref="TD6:VO6" ca="1" si="702">TC$6+1</f>
        <v>41977</v>
      </c>
      <c r="TE6" s="610">
        <f t="shared" ca="1" si="702"/>
        <v>41978</v>
      </c>
      <c r="TF6" s="610">
        <f t="shared" ca="1" si="702"/>
        <v>41979</v>
      </c>
      <c r="TG6" s="610">
        <f t="shared" ca="1" si="702"/>
        <v>41980</v>
      </c>
      <c r="TH6" s="610">
        <f t="shared" ca="1" si="702"/>
        <v>41981</v>
      </c>
      <c r="TI6" s="610">
        <f t="shared" ca="1" si="702"/>
        <v>41982</v>
      </c>
      <c r="TJ6" s="610">
        <f t="shared" ca="1" si="702"/>
        <v>41983</v>
      </c>
      <c r="TK6" s="610">
        <f t="shared" ca="1" si="702"/>
        <v>41984</v>
      </c>
      <c r="TL6" s="610">
        <f t="shared" ca="1" si="702"/>
        <v>41985</v>
      </c>
      <c r="TM6" s="610">
        <f t="shared" ca="1" si="702"/>
        <v>41986</v>
      </c>
      <c r="TN6" s="610">
        <f t="shared" ca="1" si="702"/>
        <v>41987</v>
      </c>
      <c r="TO6" s="610">
        <f t="shared" ca="1" si="702"/>
        <v>41988</v>
      </c>
      <c r="TP6" s="610">
        <f t="shared" ca="1" si="702"/>
        <v>41989</v>
      </c>
      <c r="TQ6" s="610">
        <f t="shared" ca="1" si="702"/>
        <v>41990</v>
      </c>
      <c r="TR6" s="610">
        <f t="shared" ca="1" si="702"/>
        <v>41991</v>
      </c>
      <c r="TS6" s="610">
        <f t="shared" ca="1" si="702"/>
        <v>41992</v>
      </c>
      <c r="TT6" s="610">
        <f t="shared" ca="1" si="702"/>
        <v>41993</v>
      </c>
      <c r="TU6" s="610">
        <f t="shared" ca="1" si="702"/>
        <v>41994</v>
      </c>
      <c r="TV6" s="610">
        <f t="shared" ca="1" si="702"/>
        <v>41995</v>
      </c>
      <c r="TW6" s="610">
        <f t="shared" ca="1" si="702"/>
        <v>41996</v>
      </c>
      <c r="TX6" s="610">
        <f t="shared" ca="1" si="702"/>
        <v>41997</v>
      </c>
      <c r="TY6" s="610">
        <f t="shared" ca="1" si="702"/>
        <v>41998</v>
      </c>
      <c r="TZ6" s="610">
        <f t="shared" ca="1" si="702"/>
        <v>41999</v>
      </c>
      <c r="UA6" s="610">
        <f t="shared" ca="1" si="702"/>
        <v>42000</v>
      </c>
      <c r="UB6" s="610">
        <f t="shared" ca="1" si="702"/>
        <v>42001</v>
      </c>
      <c r="UC6" s="610">
        <f t="shared" ca="1" si="702"/>
        <v>42002</v>
      </c>
      <c r="UD6" s="610">
        <f t="shared" ca="1" si="702"/>
        <v>42003</v>
      </c>
      <c r="UE6" s="610">
        <f t="shared" ca="1" si="702"/>
        <v>42004</v>
      </c>
      <c r="UF6" s="610">
        <f t="shared" ca="1" si="702"/>
        <v>42005</v>
      </c>
      <c r="UG6" s="610">
        <f t="shared" ca="1" si="702"/>
        <v>42006</v>
      </c>
      <c r="UH6" s="610">
        <f t="shared" ca="1" si="702"/>
        <v>42007</v>
      </c>
      <c r="UI6" s="610">
        <f t="shared" ca="1" si="702"/>
        <v>42008</v>
      </c>
      <c r="UJ6" s="610">
        <f t="shared" ca="1" si="702"/>
        <v>42009</v>
      </c>
      <c r="UK6" s="610">
        <f t="shared" ca="1" si="702"/>
        <v>42010</v>
      </c>
      <c r="UL6" s="610">
        <f t="shared" ca="1" si="702"/>
        <v>42011</v>
      </c>
      <c r="UM6" s="610">
        <f t="shared" ca="1" si="702"/>
        <v>42012</v>
      </c>
      <c r="UN6" s="610">
        <f t="shared" ca="1" si="702"/>
        <v>42013</v>
      </c>
      <c r="UO6" s="610">
        <f t="shared" ca="1" si="702"/>
        <v>42014</v>
      </c>
      <c r="UP6" s="610">
        <f t="shared" ca="1" si="702"/>
        <v>42015</v>
      </c>
      <c r="UQ6" s="610">
        <f t="shared" ca="1" si="702"/>
        <v>42016</v>
      </c>
      <c r="UR6" s="610">
        <f t="shared" ca="1" si="702"/>
        <v>42017</v>
      </c>
      <c r="US6" s="610">
        <f t="shared" ca="1" si="702"/>
        <v>42018</v>
      </c>
      <c r="UT6" s="610">
        <f t="shared" ca="1" si="702"/>
        <v>42019</v>
      </c>
      <c r="UU6" s="610">
        <f t="shared" ca="1" si="702"/>
        <v>42020</v>
      </c>
      <c r="UV6" s="610">
        <f t="shared" ca="1" si="702"/>
        <v>42021</v>
      </c>
      <c r="UW6" s="610">
        <f t="shared" ca="1" si="702"/>
        <v>42022</v>
      </c>
      <c r="UX6" s="610">
        <f t="shared" ca="1" si="702"/>
        <v>42023</v>
      </c>
      <c r="UY6" s="610">
        <f t="shared" ca="1" si="702"/>
        <v>42024</v>
      </c>
      <c r="UZ6" s="610">
        <f t="shared" ca="1" si="702"/>
        <v>42025</v>
      </c>
      <c r="VA6" s="610">
        <f t="shared" ca="1" si="702"/>
        <v>42026</v>
      </c>
      <c r="VB6" s="610">
        <f t="shared" ca="1" si="702"/>
        <v>42027</v>
      </c>
      <c r="VC6" s="610">
        <f t="shared" ca="1" si="702"/>
        <v>42028</v>
      </c>
      <c r="VD6" s="610">
        <f t="shared" ca="1" si="702"/>
        <v>42029</v>
      </c>
      <c r="VE6" s="610">
        <f t="shared" ca="1" si="702"/>
        <v>42030</v>
      </c>
      <c r="VF6" s="610">
        <f t="shared" ca="1" si="702"/>
        <v>42031</v>
      </c>
      <c r="VG6" s="610">
        <f t="shared" ca="1" si="702"/>
        <v>42032</v>
      </c>
      <c r="VH6" s="610">
        <f t="shared" ca="1" si="702"/>
        <v>42033</v>
      </c>
      <c r="VI6" s="610">
        <f t="shared" ca="1" si="702"/>
        <v>42034</v>
      </c>
      <c r="VJ6" s="610">
        <f t="shared" ca="1" si="702"/>
        <v>42035</v>
      </c>
      <c r="VK6" s="610">
        <f t="shared" ca="1" si="702"/>
        <v>42036</v>
      </c>
      <c r="VL6" s="610">
        <f t="shared" ca="1" si="702"/>
        <v>42037</v>
      </c>
      <c r="VM6" s="610">
        <f t="shared" ca="1" si="702"/>
        <v>42038</v>
      </c>
      <c r="VN6" s="610">
        <f t="shared" ca="1" si="702"/>
        <v>42039</v>
      </c>
      <c r="VO6" s="610">
        <f t="shared" ca="1" si="702"/>
        <v>42040</v>
      </c>
      <c r="VP6" s="610">
        <f t="shared" ref="VP6:YA6" ca="1" si="703">VO$6+1</f>
        <v>42041</v>
      </c>
      <c r="VQ6" s="610">
        <f t="shared" ca="1" si="703"/>
        <v>42042</v>
      </c>
      <c r="VR6" s="610">
        <f t="shared" ca="1" si="703"/>
        <v>42043</v>
      </c>
      <c r="VS6" s="610">
        <f t="shared" ca="1" si="703"/>
        <v>42044</v>
      </c>
      <c r="VT6" s="610">
        <f t="shared" ca="1" si="703"/>
        <v>42045</v>
      </c>
      <c r="VU6" s="610">
        <f t="shared" ca="1" si="703"/>
        <v>42046</v>
      </c>
      <c r="VV6" s="610">
        <f t="shared" ca="1" si="703"/>
        <v>42047</v>
      </c>
      <c r="VW6" s="610">
        <f t="shared" ca="1" si="703"/>
        <v>42048</v>
      </c>
      <c r="VX6" s="610">
        <f t="shared" ca="1" si="703"/>
        <v>42049</v>
      </c>
      <c r="VY6" s="610">
        <f t="shared" ca="1" si="703"/>
        <v>42050</v>
      </c>
      <c r="VZ6" s="610">
        <f t="shared" ca="1" si="703"/>
        <v>42051</v>
      </c>
      <c r="WA6" s="610">
        <f t="shared" ca="1" si="703"/>
        <v>42052</v>
      </c>
      <c r="WB6" s="610">
        <f t="shared" ca="1" si="703"/>
        <v>42053</v>
      </c>
      <c r="WC6" s="610">
        <f t="shared" ca="1" si="703"/>
        <v>42054</v>
      </c>
      <c r="WD6" s="610">
        <f t="shared" ca="1" si="703"/>
        <v>42055</v>
      </c>
      <c r="WE6" s="610">
        <f t="shared" ca="1" si="703"/>
        <v>42056</v>
      </c>
      <c r="WF6" s="610">
        <f t="shared" ca="1" si="703"/>
        <v>42057</v>
      </c>
      <c r="WG6" s="610">
        <f t="shared" ca="1" si="703"/>
        <v>42058</v>
      </c>
      <c r="WH6" s="610">
        <f t="shared" ca="1" si="703"/>
        <v>42059</v>
      </c>
      <c r="WI6" s="610">
        <f t="shared" ca="1" si="703"/>
        <v>42060</v>
      </c>
      <c r="WJ6" s="610">
        <f t="shared" ca="1" si="703"/>
        <v>42061</v>
      </c>
      <c r="WK6" s="610">
        <f t="shared" ca="1" si="703"/>
        <v>42062</v>
      </c>
      <c r="WL6" s="610">
        <f t="shared" ca="1" si="703"/>
        <v>42063</v>
      </c>
      <c r="WM6" s="610">
        <f t="shared" ca="1" si="703"/>
        <v>42064</v>
      </c>
      <c r="WN6" s="610">
        <f t="shared" ca="1" si="703"/>
        <v>42065</v>
      </c>
      <c r="WO6" s="610">
        <f t="shared" ca="1" si="703"/>
        <v>42066</v>
      </c>
      <c r="WP6" s="610">
        <f t="shared" ca="1" si="703"/>
        <v>42067</v>
      </c>
      <c r="WQ6" s="610">
        <f t="shared" ca="1" si="703"/>
        <v>42068</v>
      </c>
      <c r="WR6" s="610">
        <f t="shared" ca="1" si="703"/>
        <v>42069</v>
      </c>
      <c r="WS6" s="610">
        <f t="shared" ca="1" si="703"/>
        <v>42070</v>
      </c>
      <c r="WT6" s="610">
        <f t="shared" ca="1" si="703"/>
        <v>42071</v>
      </c>
      <c r="WU6" s="610">
        <f t="shared" ca="1" si="703"/>
        <v>42072</v>
      </c>
      <c r="WV6" s="610">
        <f t="shared" ca="1" si="703"/>
        <v>42073</v>
      </c>
      <c r="WW6" s="610">
        <f t="shared" ca="1" si="703"/>
        <v>42074</v>
      </c>
      <c r="WX6" s="610">
        <f t="shared" ca="1" si="703"/>
        <v>42075</v>
      </c>
      <c r="WY6" s="610">
        <f t="shared" ca="1" si="703"/>
        <v>42076</v>
      </c>
      <c r="WZ6" s="610">
        <f t="shared" ca="1" si="703"/>
        <v>42077</v>
      </c>
      <c r="XA6" s="610">
        <f t="shared" ca="1" si="703"/>
        <v>42078</v>
      </c>
      <c r="XB6" s="610">
        <f t="shared" ca="1" si="703"/>
        <v>42079</v>
      </c>
      <c r="XC6" s="610">
        <f t="shared" ca="1" si="703"/>
        <v>42080</v>
      </c>
      <c r="XD6" s="610">
        <f t="shared" ca="1" si="703"/>
        <v>42081</v>
      </c>
      <c r="XE6" s="610">
        <f t="shared" ca="1" si="703"/>
        <v>42082</v>
      </c>
      <c r="XF6" s="610">
        <f t="shared" ca="1" si="703"/>
        <v>42083</v>
      </c>
      <c r="XG6" s="610">
        <f t="shared" ca="1" si="703"/>
        <v>42084</v>
      </c>
      <c r="XH6" s="610">
        <f t="shared" ca="1" si="703"/>
        <v>42085</v>
      </c>
      <c r="XI6" s="610">
        <f t="shared" ca="1" si="703"/>
        <v>42086</v>
      </c>
      <c r="XJ6" s="610">
        <f t="shared" ca="1" si="703"/>
        <v>42087</v>
      </c>
      <c r="XK6" s="610">
        <f t="shared" ca="1" si="703"/>
        <v>42088</v>
      </c>
      <c r="XL6" s="610">
        <f t="shared" ca="1" si="703"/>
        <v>42089</v>
      </c>
      <c r="XM6" s="610">
        <f t="shared" ca="1" si="703"/>
        <v>42090</v>
      </c>
      <c r="XN6" s="610">
        <f t="shared" ca="1" si="703"/>
        <v>42091</v>
      </c>
      <c r="XO6" s="610">
        <f t="shared" ca="1" si="703"/>
        <v>42092</v>
      </c>
      <c r="XP6" s="610">
        <f t="shared" ca="1" si="703"/>
        <v>42093</v>
      </c>
      <c r="XQ6" s="610">
        <f t="shared" ca="1" si="703"/>
        <v>42094</v>
      </c>
      <c r="XR6" s="610">
        <f t="shared" ca="1" si="703"/>
        <v>42095</v>
      </c>
      <c r="XS6" s="610">
        <f t="shared" ca="1" si="703"/>
        <v>42096</v>
      </c>
      <c r="XT6" s="610">
        <f t="shared" ca="1" si="703"/>
        <v>42097</v>
      </c>
      <c r="XU6" s="610">
        <f t="shared" ca="1" si="703"/>
        <v>42098</v>
      </c>
      <c r="XV6" s="610">
        <f t="shared" ca="1" si="703"/>
        <v>42099</v>
      </c>
      <c r="XW6" s="610">
        <f t="shared" ca="1" si="703"/>
        <v>42100</v>
      </c>
      <c r="XX6" s="610">
        <f t="shared" ca="1" si="703"/>
        <v>42101</v>
      </c>
      <c r="XY6" s="610">
        <f t="shared" ca="1" si="703"/>
        <v>42102</v>
      </c>
      <c r="XZ6" s="610">
        <f t="shared" ca="1" si="703"/>
        <v>42103</v>
      </c>
      <c r="YA6" s="610">
        <f t="shared" ca="1" si="703"/>
        <v>42104</v>
      </c>
      <c r="YB6" s="610">
        <f t="shared" ref="YB6:ZZ6" ca="1" si="704">YA$6+1</f>
        <v>42105</v>
      </c>
      <c r="YC6" s="610">
        <f t="shared" ca="1" si="704"/>
        <v>42106</v>
      </c>
      <c r="YD6" s="610">
        <f t="shared" ca="1" si="704"/>
        <v>42107</v>
      </c>
      <c r="YE6" s="610">
        <f t="shared" ca="1" si="704"/>
        <v>42108</v>
      </c>
      <c r="YF6" s="610">
        <f t="shared" ca="1" si="704"/>
        <v>42109</v>
      </c>
      <c r="YG6" s="610">
        <f t="shared" ca="1" si="704"/>
        <v>42110</v>
      </c>
      <c r="YH6" s="610">
        <f t="shared" ca="1" si="704"/>
        <v>42111</v>
      </c>
      <c r="YI6" s="610">
        <f t="shared" ca="1" si="704"/>
        <v>42112</v>
      </c>
      <c r="YJ6" s="610">
        <f t="shared" ca="1" si="704"/>
        <v>42113</v>
      </c>
      <c r="YK6" s="610">
        <f t="shared" ca="1" si="704"/>
        <v>42114</v>
      </c>
      <c r="YL6" s="610">
        <f t="shared" ca="1" si="704"/>
        <v>42115</v>
      </c>
      <c r="YM6" s="610">
        <f t="shared" ca="1" si="704"/>
        <v>42116</v>
      </c>
      <c r="YN6" s="610">
        <f t="shared" ca="1" si="704"/>
        <v>42117</v>
      </c>
      <c r="YO6" s="610">
        <f t="shared" ca="1" si="704"/>
        <v>42118</v>
      </c>
      <c r="YP6" s="610">
        <f t="shared" ca="1" si="704"/>
        <v>42119</v>
      </c>
      <c r="YQ6" s="610">
        <f t="shared" ca="1" si="704"/>
        <v>42120</v>
      </c>
      <c r="YR6" s="610">
        <f t="shared" ca="1" si="704"/>
        <v>42121</v>
      </c>
      <c r="YS6" s="610">
        <f t="shared" ca="1" si="704"/>
        <v>42122</v>
      </c>
      <c r="YT6" s="610">
        <f t="shared" ca="1" si="704"/>
        <v>42123</v>
      </c>
      <c r="YU6" s="610">
        <f t="shared" ca="1" si="704"/>
        <v>42124</v>
      </c>
      <c r="YV6" s="610">
        <f t="shared" ca="1" si="704"/>
        <v>42125</v>
      </c>
      <c r="YW6" s="610">
        <f t="shared" ca="1" si="704"/>
        <v>42126</v>
      </c>
      <c r="YX6" s="610">
        <f t="shared" ca="1" si="704"/>
        <v>42127</v>
      </c>
      <c r="YY6" s="610">
        <f t="shared" ca="1" si="704"/>
        <v>42128</v>
      </c>
      <c r="YZ6" s="610">
        <f t="shared" ca="1" si="704"/>
        <v>42129</v>
      </c>
      <c r="ZA6" s="610">
        <f t="shared" ca="1" si="704"/>
        <v>42130</v>
      </c>
      <c r="ZB6" s="610">
        <f t="shared" ca="1" si="704"/>
        <v>42131</v>
      </c>
      <c r="ZC6" s="610">
        <f t="shared" ca="1" si="704"/>
        <v>42132</v>
      </c>
      <c r="ZD6" s="610">
        <f t="shared" ca="1" si="704"/>
        <v>42133</v>
      </c>
      <c r="ZE6" s="610">
        <f t="shared" ca="1" si="704"/>
        <v>42134</v>
      </c>
      <c r="ZF6" s="610">
        <f t="shared" ca="1" si="704"/>
        <v>42135</v>
      </c>
      <c r="ZG6" s="610">
        <f t="shared" ca="1" si="704"/>
        <v>42136</v>
      </c>
      <c r="ZH6" s="610">
        <f t="shared" ca="1" si="704"/>
        <v>42137</v>
      </c>
      <c r="ZI6" s="610">
        <f t="shared" ca="1" si="704"/>
        <v>42138</v>
      </c>
      <c r="ZJ6" s="610">
        <f t="shared" ca="1" si="704"/>
        <v>42139</v>
      </c>
      <c r="ZK6" s="610">
        <f t="shared" ca="1" si="704"/>
        <v>42140</v>
      </c>
      <c r="ZL6" s="610">
        <f t="shared" ca="1" si="704"/>
        <v>42141</v>
      </c>
      <c r="ZM6" s="610">
        <f t="shared" ca="1" si="704"/>
        <v>42142</v>
      </c>
      <c r="ZN6" s="610">
        <f t="shared" ca="1" si="704"/>
        <v>42143</v>
      </c>
      <c r="ZO6" s="610">
        <f t="shared" ca="1" si="704"/>
        <v>42144</v>
      </c>
      <c r="ZP6" s="610">
        <f t="shared" ca="1" si="704"/>
        <v>42145</v>
      </c>
      <c r="ZQ6" s="610">
        <f t="shared" ca="1" si="704"/>
        <v>42146</v>
      </c>
      <c r="ZR6" s="610">
        <f t="shared" ca="1" si="704"/>
        <v>42147</v>
      </c>
      <c r="ZS6" s="610">
        <f t="shared" ca="1" si="704"/>
        <v>42148</v>
      </c>
      <c r="ZT6" s="610">
        <f t="shared" ca="1" si="704"/>
        <v>42149</v>
      </c>
      <c r="ZU6" s="610">
        <f t="shared" ca="1" si="704"/>
        <v>42150</v>
      </c>
      <c r="ZV6" s="610">
        <f t="shared" ca="1" si="704"/>
        <v>42151</v>
      </c>
      <c r="ZW6" s="610">
        <f t="shared" ca="1" si="704"/>
        <v>42152</v>
      </c>
      <c r="ZX6" s="610">
        <f t="shared" ca="1" si="704"/>
        <v>42153</v>
      </c>
      <c r="ZY6" s="610">
        <f t="shared" ca="1" si="704"/>
        <v>42154</v>
      </c>
      <c r="ZZ6" s="610">
        <f t="shared" ca="1" si="704"/>
        <v>42155</v>
      </c>
      <c r="AAA6" s="588"/>
      <c r="AAB6"/>
      <c r="AAC6"/>
      <c r="AAD6" s="112"/>
      <c r="AAE6" s="551" t="s">
        <v>258</v>
      </c>
      <c r="AAF6" s="583" t="s">
        <v>185</v>
      </c>
      <c r="AAG6" s="78">
        <f ca="1">WORKDAY(TODAY()-1,1,S.DDL_DEQClosed)</f>
        <v>41463</v>
      </c>
      <c r="AAH6" s="78">
        <f>S.BANNER.PostEQCEnd</f>
        <v>41624</v>
      </c>
      <c r="AAI6" s="77"/>
      <c r="AAJ6" s="98">
        <v>1</v>
      </c>
      <c r="AAK6" s="579">
        <f>IF(S.RuleType=2,14,28)</f>
        <v>28</v>
      </c>
      <c r="AAL6" s="76"/>
      <c r="AAM6" s="112"/>
      <c r="AAU6" s="44"/>
      <c r="ABK6" s="737"/>
      <c r="ABL6" s="737"/>
      <c r="ABM6" s="737"/>
      <c r="ABN6" s="737"/>
      <c r="ABO6" s="737"/>
      <c r="ABP6" s="737"/>
      <c r="ABQ6" s="737"/>
    </row>
    <row r="7" spans="1:745" ht="6" customHeight="1">
      <c r="A7" s="599"/>
      <c r="B7" s="206"/>
      <c r="C7" s="688"/>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185</v>
      </c>
      <c r="AAG7" s="76"/>
      <c r="AAH7" s="76"/>
      <c r="AAI7" s="76"/>
      <c r="AAJ7" s="508"/>
      <c r="AAK7" s="575"/>
      <c r="AAL7" s="40"/>
      <c r="AAM7" s="112"/>
      <c r="AAN7"/>
      <c r="AAT7" s="23"/>
      <c r="AAU7" s="44"/>
    </row>
    <row r="8" spans="1:745" s="23" customFormat="1" ht="6" customHeight="1">
      <c r="A8" s="599"/>
      <c r="B8" s="144"/>
      <c r="C8" s="689"/>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185</v>
      </c>
      <c r="AAG8" s="76"/>
      <c r="AAH8" s="76"/>
      <c r="AAI8" s="76"/>
      <c r="AAJ8" s="508"/>
      <c r="AAK8" s="575"/>
      <c r="AAL8" s="40" t="s">
        <v>257</v>
      </c>
      <c r="AAM8" s="112"/>
      <c r="AAU8" s="44"/>
    </row>
    <row r="9" spans="1:745" ht="21" customHeight="1">
      <c r="A9" s="558"/>
      <c r="B9" s="120" t="s">
        <v>262</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185</v>
      </c>
      <c r="AAG9" s="78">
        <f ca="1">IF(TODAY()&lt;DDLs!A4,DDLs!A4,VLOOKUP(TODAY(),VL_EQCActivities,4,TRUE))</f>
        <v>63</v>
      </c>
      <c r="AAH9" s="77"/>
      <c r="AAI9" s="77"/>
      <c r="AAJ9" s="65"/>
      <c r="AAK9" s="576"/>
      <c r="AAL9" s="118"/>
      <c r="AAM9" s="112"/>
      <c r="AAN9"/>
      <c r="AAO9" s="106">
        <f>S.BANNER.OverviewStart</f>
        <v>41369</v>
      </c>
    </row>
    <row r="10" spans="1:745" s="23" customFormat="1" ht="26.25" customHeight="1">
      <c r="A10" s="599"/>
      <c r="B10" s="120"/>
      <c r="C10" s="683"/>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185</v>
      </c>
      <c r="AAG10" s="112"/>
      <c r="AAH10" s="77"/>
      <c r="AAI10" s="77"/>
      <c r="AAJ10" s="113"/>
      <c r="AAK10" s="576"/>
      <c r="AAL10" s="39"/>
      <c r="AAM10" s="112"/>
      <c r="AAT10" s="335" t="s">
        <v>0</v>
      </c>
    </row>
    <row r="11" spans="1:745" s="23" customFormat="1" ht="16.5" customHeight="1">
      <c r="A11" s="734"/>
      <c r="B11" s="538" t="s">
        <v>296</v>
      </c>
      <c r="C11" s="690"/>
      <c r="D11" s="538"/>
      <c r="E11" s="539"/>
      <c r="F11" s="321">
        <f ca="1">NETWORKDAYS(TODAY(),H11,S.DDL_DEQClosed)</f>
        <v>72</v>
      </c>
      <c r="G11" s="590">
        <f>S.EQCMeeting</f>
        <v>41563</v>
      </c>
      <c r="H11" s="585">
        <v>41563</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41563</v>
      </c>
      <c r="AAI11" s="65"/>
      <c r="AAJ11" s="77"/>
      <c r="AAK11" s="65"/>
      <c r="AAL11" s="77"/>
      <c r="AAM11" s="112"/>
      <c r="AAO11" s="108" t="s">
        <v>235</v>
      </c>
      <c r="AAP11" s="336">
        <f t="shared" ref="AAP11:AAS11" si="705">AAP20/30</f>
        <v>5.4666666666666668</v>
      </c>
      <c r="AAQ11" s="336">
        <f t="shared" si="705"/>
        <v>4.9000000000000004</v>
      </c>
      <c r="AAR11" s="336">
        <f t="shared" si="705"/>
        <v>4.333333333333333</v>
      </c>
      <c r="AAS11" s="336">
        <f t="shared" si="705"/>
        <v>3.7666666666666666</v>
      </c>
      <c r="AAX11" s="23" t="s">
        <v>251</v>
      </c>
      <c r="AAY11" s="23" t="s">
        <v>251</v>
      </c>
      <c r="AAZ11" s="23" t="s">
        <v>251</v>
      </c>
      <c r="ABA11" s="23" t="s">
        <v>251</v>
      </c>
      <c r="ABB11" s="23" t="s">
        <v>0</v>
      </c>
    </row>
    <row r="12" spans="1:745" s="23" customFormat="1" ht="16.5" customHeight="1">
      <c r="A12" s="599"/>
      <c r="B12" s="765" t="str">
        <f>AAL12</f>
        <v>INVOLVED before Rulemaking Action Item</v>
      </c>
      <c r="C12" s="765"/>
      <c r="D12" s="765"/>
      <c r="E12" s="125"/>
      <c r="F12" s="212"/>
      <c r="G12" s="535" t="s">
        <v>291</v>
      </c>
      <c r="H12" s="535" t="s">
        <v>290</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185</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245</v>
      </c>
      <c r="AAQ12" s="106" t="s">
        <v>242</v>
      </c>
      <c r="AAR12" s="106" t="s">
        <v>243</v>
      </c>
      <c r="AAS12" s="106" t="s">
        <v>244</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734"/>
      <c r="B13" s="126" t="s">
        <v>234</v>
      </c>
      <c r="C13" s="691"/>
      <c r="D13" s="748" t="str">
        <f>AAI13</f>
        <v/>
      </c>
      <c r="E13" s="748"/>
      <c r="F13" s="321">
        <f t="shared" ref="F13:F15" ca="1" si="706">NETWORKDAYS(TODAY(),H13,S.DDL_DEQClosed)</f>
        <v>-13</v>
      </c>
      <c r="G13" s="586">
        <v>41444</v>
      </c>
      <c r="H13" s="586">
        <v>41444</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41507</v>
      </c>
      <c r="AAH13" s="78">
        <f>G13</f>
        <v>41444</v>
      </c>
      <c r="AAI13" s="571" t="str">
        <f>IF(OR(G13&gt;=S.EQCMeeting,H13&gt;=S.EQCMeeting),"Must be less than H13","")</f>
        <v/>
      </c>
      <c r="AAJ13" s="81" t="b">
        <v>1</v>
      </c>
      <c r="AAK13" s="523"/>
      <c r="AAL13" s="65"/>
      <c r="AAM13" s="112"/>
      <c r="AAO13" s="109" t="s">
        <v>246</v>
      </c>
      <c r="AAP13" s="107">
        <f>IF(S.RuleType=1,28,21)</f>
        <v>28</v>
      </c>
      <c r="AAQ13" s="107">
        <f>IF(S.RuleType=1,21,14)</f>
        <v>21</v>
      </c>
      <c r="AAR13" s="107">
        <f>IF(S.RuleType=1,14,7)</f>
        <v>14</v>
      </c>
      <c r="AAS13" s="107">
        <f>IF(S.RuleType=1,7,0)</f>
        <v>7</v>
      </c>
      <c r="AAU13" s="510" t="s">
        <v>24</v>
      </c>
      <c r="AAV13" s="512" t="s">
        <v>250</v>
      </c>
      <c r="AAW13" s="510"/>
      <c r="AAX13" s="510" t="s">
        <v>1</v>
      </c>
      <c r="AAY13" s="511" t="s">
        <v>248</v>
      </c>
      <c r="AAZ13" s="512" t="s">
        <v>247</v>
      </c>
      <c r="ABA13" s="514" t="s">
        <v>240</v>
      </c>
      <c r="ABB13" s="510" t="s">
        <v>142</v>
      </c>
      <c r="ABC13" s="506" t="s">
        <v>252</v>
      </c>
      <c r="ABD13" s="506" t="s">
        <v>274</v>
      </c>
    </row>
    <row r="14" spans="1:745" s="23" customFormat="1" ht="16.7" customHeight="1">
      <c r="A14" s="599"/>
      <c r="B14" s="126" t="s">
        <v>231</v>
      </c>
      <c r="C14" s="691"/>
      <c r="D14" s="748" t="str">
        <f t="shared" ref="D14:D15" si="707">AAI14</f>
        <v/>
      </c>
      <c r="E14" s="748"/>
      <c r="F14" s="321">
        <f t="shared" ca="1" si="706"/>
        <v>33</v>
      </c>
      <c r="G14" s="586">
        <f t="shared" ref="G14:G15" si="708">AAG14</f>
        <v>41507</v>
      </c>
      <c r="H14" s="586">
        <f t="shared" ref="H14:H15" si="709">AAH14</f>
        <v>41507</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0</v>
      </c>
      <c r="AAF14" s="584" t="s">
        <v>0</v>
      </c>
      <c r="AAG14" s="78">
        <f>VLOOKUP(S.EQCMeeting,VL_EQCActivities,6,FALSE)</f>
        <v>41507</v>
      </c>
      <c r="AAH14" s="78">
        <f t="shared" ref="AAH14:AAH15" si="710">G14</f>
        <v>41507</v>
      </c>
      <c r="AAI14" s="571" t="str">
        <f>IF(OR(G14&gt;=S.EQCMeeting,H14&gt;=S.EQCMeeting),"Must be less than H13","")</f>
        <v/>
      </c>
      <c r="AAJ14" s="81" t="b">
        <v>0</v>
      </c>
      <c r="AAK14" s="523"/>
      <c r="AAL14" s="76"/>
      <c r="AAM14" s="112"/>
      <c r="AAO14" s="109" t="s">
        <v>236</v>
      </c>
      <c r="AAP14" s="107">
        <f>IF(S.InvolveSIP=TRUE,25,0)</f>
        <v>25</v>
      </c>
      <c r="AAQ14" s="107">
        <f>IF(S.InvolveSIP=TRUE,20,0)</f>
        <v>20</v>
      </c>
      <c r="AAR14" s="107">
        <f>IF(S.InvolveSIP=TRUE,15,0)</f>
        <v>15</v>
      </c>
      <c r="AAS14" s="107">
        <f>IF(S.InvolveSIP=TRUE,10,0)</f>
        <v>10</v>
      </c>
      <c r="AAT14" s="23" t="s">
        <v>0</v>
      </c>
      <c r="AAU14" s="510"/>
      <c r="AAV14" s="512"/>
      <c r="AAW14" s="510" t="s">
        <v>237</v>
      </c>
      <c r="AAX14" s="510"/>
      <c r="AAY14" s="507"/>
      <c r="AAZ14" s="513"/>
      <c r="ABA14" s="514"/>
      <c r="ABB14" s="510"/>
      <c r="ABC14" s="507"/>
      <c r="ABD14" s="507"/>
    </row>
    <row r="15" spans="1:745" s="23" customFormat="1" ht="15.75" customHeight="1">
      <c r="A15" s="599"/>
      <c r="B15" s="128" t="str">
        <f>AAL15</f>
        <v>Facilitated Hearing</v>
      </c>
      <c r="C15" s="691"/>
      <c r="D15" s="748" t="str">
        <f t="shared" si="707"/>
        <v/>
      </c>
      <c r="E15" s="748"/>
      <c r="F15" s="321">
        <f t="shared" ca="1" si="706"/>
        <v>33</v>
      </c>
      <c r="G15" s="586">
        <f t="shared" si="708"/>
        <v>41507</v>
      </c>
      <c r="H15" s="586">
        <f t="shared" si="709"/>
        <v>41507</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0</v>
      </c>
      <c r="AAF15" s="584" t="s">
        <v>0</v>
      </c>
      <c r="AAG15" s="78">
        <f>VLOOKUP(S.EQCMeeting,VL_EQCActivities,6,FALSE)</f>
        <v>41507</v>
      </c>
      <c r="AAH15" s="78">
        <f t="shared" si="710"/>
        <v>41507</v>
      </c>
      <c r="AAI15" s="571" t="str">
        <f>IF(OR(G15&gt;=S.EQCMeeting,H15&gt;=S.EQCMeeting),"Must be less than H13","")</f>
        <v/>
      </c>
      <c r="AAJ15" s="81" t="b">
        <v>0</v>
      </c>
      <c r="AAK15" s="523"/>
      <c r="AAL15" s="570" t="str">
        <f>IF(AND(S.InvolveEQCFacHearing=TRUE,S.InvolveHearing=FALSE),"ERROR:No hearings selected below","Facilitated Hearing")</f>
        <v>Facilitated Hearing</v>
      </c>
      <c r="AAM15" s="112"/>
      <c r="AAO15" s="109" t="s">
        <v>237</v>
      </c>
      <c r="AAP15" s="107">
        <f>IF(AND(S.InvolveCommittee=TRUE,S.InvolveFee=TRUE),35,IF(S.InvolveCommittee=TRUE,25,0))</f>
        <v>0</v>
      </c>
      <c r="AAQ15" s="107">
        <f>IF(AND(S.InvolveCommittee=TRUE,S.InvolveFee=TRUE),30,IF(S.InvolveCommittee=TRUE,20,0))</f>
        <v>0</v>
      </c>
      <c r="AAR15" s="107">
        <f>IF(AND(S.InvolveCommittee=TRUE,S.InvolveFee=TRUE),25,IF(S.InvolveCommittee=TRUE,15,0))</f>
        <v>0</v>
      </c>
      <c r="AAS15" s="107">
        <f>IF(AND(S.InvolveCommittee=TRUE,S.InvolveFee=TRUE),20,IF(S.InvolveCommittee=TRUE,10,0))</f>
        <v>0</v>
      </c>
      <c r="AAU15" s="101" t="s">
        <v>245</v>
      </c>
      <c r="AAV15" s="100">
        <f>IF(S.InvolveSIP=FALSE,S.BANNER.OverviewStart,IF(WORKDAY(ABA15-46,1,S.DDL_DEQClosed)&lt;S.BANNER.OverviewStart,S.BANNER.OverviewStart,WORKDAY(ABA15-46,1,S.DDL_DEQClosed)))</f>
        <v>41645</v>
      </c>
      <c r="AAW15" s="100">
        <f>IF(S.InvolveCommittee=FALSE,S.BANNER.OverviewStart,WORKDAY(S.BANNER.OverviewStart+31,-1,S.DDL_DEQClosed))</f>
        <v>41369</v>
      </c>
      <c r="AAX15" s="100">
        <f>IF(S.DASApprovalRequired=TRUE,WORKDAY(AAY15-31,1,S.DDL_DEQClosed),IF(S.InvolveFee=TRUE,AAY15,S.BANNER.OverviewStart))</f>
        <v>41369</v>
      </c>
      <c r="AAY15" s="100">
        <f>IF(S.InvolveNotice=FALSE,S.BANNER.OverviewStart,VLOOKUP(AAZ15,VL_Bulletin,2,FALSE))</f>
        <v>41654</v>
      </c>
      <c r="AAZ15" s="100">
        <f>VLOOKUP(ABB15-120,VL_Bulletin,1,TRUE)</f>
        <v>41671</v>
      </c>
      <c r="ABA15" s="100">
        <f>IF(S.InvolveHearing=FALSE,S.BANNER.OverviewStart,WORKDAY(AAZ15+13,1,S.DDL_DEQClosed))</f>
        <v>41688</v>
      </c>
      <c r="ABB15" s="100">
        <f>ABB17+ABD17</f>
        <v>41808</v>
      </c>
      <c r="ABC15" s="320">
        <f>VLOOKUP(ABB15-ABD15,VL_EQCActivities,TRUE)</f>
        <v>41717</v>
      </c>
      <c r="ABD15" s="339">
        <f>VLOOKUP(ABB15,VL_EQCActivities,4,FALSE)</f>
        <v>63</v>
      </c>
    </row>
    <row r="16" spans="1:745" s="23" customFormat="1" ht="6" customHeight="1">
      <c r="A16" s="599"/>
      <c r="B16" s="128"/>
      <c r="C16" s="691"/>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185</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734"/>
      <c r="B17" s="766" t="str">
        <f>AAL17</f>
        <v>1-State Implementation Plan (AQ rules)</v>
      </c>
      <c r="C17" s="766"/>
      <c r="D17" s="517"/>
      <c r="E17" s="555">
        <f t="shared" ref="E17" si="711">NETWORKDAYS(G17,H17,S.DDL_DEQClosed)</f>
        <v>138</v>
      </c>
      <c r="F17" s="321">
        <f t="shared" ref="F17" ca="1" si="712">NETWORKDAYS(TODAY(),H17,S.DDL_DEQClosed)</f>
        <v>82</v>
      </c>
      <c r="G17" s="522">
        <f t="shared" ref="G17" si="713">AAG17</f>
        <v>41379</v>
      </c>
      <c r="H17" s="521">
        <f>AAH17</f>
        <v>41577</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41577</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238</v>
      </c>
      <c r="AAP17" s="107">
        <f>IF(S.DASApprovalRequired=TRUE,50,IF(S.InvolveFee=TRUE,25,0))</f>
        <v>0</v>
      </c>
      <c r="AAQ17" s="107">
        <f>IF(S.DASApprovalRequired=TRUE,45,IF(S.InvolveFee=TRUE,20,0))</f>
        <v>0</v>
      </c>
      <c r="AAR17" s="107">
        <f>IF(S.DASApprovalRequired=TRUE,40,IF(S.InvolveFee=TRUE,15,0))</f>
        <v>0</v>
      </c>
      <c r="AAS17" s="107">
        <f>IF(S.DASApprovalRequired=TRUE,35,IF(S.InvolveFee=TRUE,10,0))</f>
        <v>0</v>
      </c>
      <c r="AAU17" s="101" t="s">
        <v>242</v>
      </c>
      <c r="AAV17" s="100">
        <f>IF(S.InvolveSIP=FALSE,S.BANNER.OverviewStart,IF(WORKDAY(ABA17-46,1,S.DDL_DEQClosed)&lt;S.BANNER.OverviewStart,S.BANNER.OverviewStart,WORKDAY(ABA17-46,1,S.DDL_DEQClosed)))</f>
        <v>41579</v>
      </c>
      <c r="AAW17" s="100">
        <f>IF(S.InvolveCommittee=FALSE,S.BANNER.OverviewStart,WORKDAY(S.BANNER.OverviewStart+26,-1,S.DDL_DEQClosed))</f>
        <v>41369</v>
      </c>
      <c r="AAX17" s="100">
        <f>IF(S.DASApprovalRequired=TRUE,WORKDAY(AAY17-31,1,S.DDL_DEQClosed),IF(S.InvolveFee=TRUE,AAY17,S.BANNER.OverviewStart))</f>
        <v>41369</v>
      </c>
      <c r="AAY17" s="100">
        <f>IF(S.InvolveNotice=FALSE,S.BANNER.OverviewStart,VLOOKUP(AAZ17,VL_Bulletin,2,FALSE))</f>
        <v>41593</v>
      </c>
      <c r="AAZ17" s="100">
        <f>VLOOKUP(ABB17-90,VL_Bulletin,1,TRUE)</f>
        <v>41609</v>
      </c>
      <c r="ABA17" s="100">
        <f>IF(S.InvolveHearing=FALSE,S.BANNER.OverviewStart,WORKDAY(AAZ17+13,1,S.DDL_DEQClosed))</f>
        <v>41624</v>
      </c>
      <c r="ABB17" s="100">
        <f>ABB18+ABD18</f>
        <v>41717</v>
      </c>
      <c r="ABC17" s="320">
        <f>VLOOKUP(ABB17-ABD17,VL_EQCActivities,TRUE)</f>
        <v>41619</v>
      </c>
      <c r="ABD17" s="339">
        <f>VLOOKUP(ABB17,VL_EQCActivities,4,FALSE)</f>
        <v>91</v>
      </c>
    </row>
    <row r="18" spans="1:735" s="23" customFormat="1" ht="6" customHeight="1">
      <c r="A18" s="558"/>
      <c r="B18" s="130"/>
      <c r="C18" s="692"/>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185</v>
      </c>
      <c r="AAG18" s="112"/>
      <c r="AAH18" s="112"/>
      <c r="AAI18" s="211"/>
      <c r="AAJ18" s="523" t="s">
        <v>0</v>
      </c>
      <c r="AAK18" s="523"/>
      <c r="AAL18" s="114"/>
      <c r="AAM18" s="112"/>
      <c r="AAO18" s="110" t="s">
        <v>239</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243</v>
      </c>
      <c r="AAV18" s="100">
        <f>IF(S.InvolveSIP=FALSE,S.BANNER.OverviewStart,IF(WORKDAY(ABA18-46,1,S.DDL_DEQClosed)&lt;S.BANNER.OverviewStart,S.BANNER.OverviewStart,WORKDAY(ABA18-46,1,S.DDL_DEQClosed)))</f>
        <v>41520</v>
      </c>
      <c r="AAW18" s="100">
        <f>IF(S.InvolveCommittee=FALSE,S.BANNER.OverviewStart,WORKDAY(S.BANNER.OverviewStart+21,-1,S.DDL_DEQClosed))</f>
        <v>41369</v>
      </c>
      <c r="AAX18" s="100">
        <f>IF(S.DASApprovalRequired=TRUE,WORKDAY(AAY18-31,1,S.DDL_DEQClosed),IF(S.InvolveFee=TRUE,AAY18,S.BANNER.OverviewStart))</f>
        <v>41369</v>
      </c>
      <c r="AAY18" s="100">
        <f>IF(S.InvolveNotice=FALSE,S.BANNER.OverviewStart,VLOOKUP(AAZ18,VL_Bulletin,2,FALSE))</f>
        <v>41530</v>
      </c>
      <c r="AAZ18" s="100">
        <f>VLOOKUP(ABB18-60,VL_Bulletin,1,TRUE)</f>
        <v>41548</v>
      </c>
      <c r="ABA18" s="100">
        <f>IF(S.InvolveHearing=FALSE,S.BANNER.OverviewStart,WORKDAY(AAZ18+13,1,S.DDL_DEQClosed))</f>
        <v>41562</v>
      </c>
      <c r="ABB18" s="100">
        <f>ABB19+ABD19</f>
        <v>41619</v>
      </c>
      <c r="ABC18" s="320">
        <f>VLOOKUP(ABB18-ABD18,VL_EQCActivities,TRUE)</f>
        <v>41507</v>
      </c>
      <c r="ABD18" s="339">
        <f>VLOOKUP(ABB18,VL_EQCActivities,4,FALSE)</f>
        <v>98</v>
      </c>
    </row>
    <row r="19" spans="1:735" s="23" customFormat="1" ht="20.100000000000001" customHeight="1">
      <c r="A19" s="558"/>
      <c r="B19" s="326" t="str">
        <f t="shared" ref="B19:B28" si="714">AAL19</f>
        <v>2-Advisory Committee NOT involved</v>
      </c>
      <c r="C19" s="684"/>
      <c r="D19" s="326"/>
      <c r="E19" s="677">
        <f t="shared" ref="E19" si="715">NETWORKDAYS(G19,H19,S.DDL_DEQClosed)</f>
        <v>1</v>
      </c>
      <c r="F19" s="545">
        <f ca="1">NETWORKDAYS(TODAY(),G19,S.DDL_DEQClosed)</f>
        <v>-63</v>
      </c>
      <c r="G19" s="652">
        <f>AAG19</f>
        <v>41369</v>
      </c>
      <c r="H19" s="678">
        <f>AAH19</f>
        <v>41369</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0</v>
      </c>
      <c r="AAF19" s="112" t="s">
        <v>0</v>
      </c>
      <c r="AAG19" s="78">
        <f>IF(S.InvolveCommittee=TRUE,WORKDAY(S.BANNER.OverviewStart,30,S.DDL_DEQClosed),S.BANNER.OverviewStart)</f>
        <v>41369</v>
      </c>
      <c r="AAH19" s="78">
        <f>IF(S.InvolveCommittee=TRUE,WORKDAY(S.FileRuleWithSOS,10,S.DDL_DEQClosed),S.BANNER.OverviewStart)</f>
        <v>41369</v>
      </c>
      <c r="AAI19" s="65"/>
      <c r="AAJ19" s="81" t="b">
        <v>0</v>
      </c>
      <c r="AAK19" s="523"/>
      <c r="AAL19" s="85" t="str">
        <f>IF(S.InvolveCommittee=TRUE,"2-Advisory Committee","2-Advisory Committee NOT involved")</f>
        <v>2-Advisory Committee NOT involved</v>
      </c>
      <c r="AAM19" s="112"/>
      <c r="AAO19" s="110" t="s">
        <v>241</v>
      </c>
      <c r="AAP19" s="107">
        <v>45</v>
      </c>
      <c r="AAQ19" s="107">
        <v>45</v>
      </c>
      <c r="AAR19" s="107">
        <v>45</v>
      </c>
      <c r="AAS19" s="107">
        <v>45</v>
      </c>
      <c r="AAU19" s="101" t="s">
        <v>244</v>
      </c>
      <c r="AAV19" s="100">
        <f>IF(S.InvolveSIP=FALSE,S.BANNER.OverviewStart,IF(WORKDAY(ABA19-46,1,S.DDL_DEQClosed)&lt;S.BANNER.OverviewStart,S.BANNER.OverviewStart,WORKDAY(ABA19-46,1,S.DDL_DEQClosed)))</f>
        <v>41456</v>
      </c>
      <c r="AAW19" s="100">
        <f>IF(S.InvolveCommittee=FALSE,S.BANNER.OverviewStart,WORKDAY(S.BANNER.OverviewStart+11,-1,S.DDL_DEQClosed))</f>
        <v>41369</v>
      </c>
      <c r="AAX19" s="340">
        <f>IF(S.DASApprovalRequired=TRUE,WORKDAY(AAY19-31,1,S.DDL_DEQClosed),IF(S.InvolveFee=TRUE,AAY19,S.BANNER.OverviewStart))</f>
        <v>41369</v>
      </c>
      <c r="AAY19" s="100">
        <f>IF(S.InvolveNotice=FALSE,S.BANNER.OverviewStart,VLOOKUP(AAZ19,VL_Bulletin,2,FALSE))</f>
        <v>41470</v>
      </c>
      <c r="AAZ19" s="100">
        <f>VLOOKUP(ABB19-60,VL_Bulletin,1,TRUE)</f>
        <v>41487</v>
      </c>
      <c r="ABA19" s="100">
        <f>IF(S.InvolveHearing=FALSE,S.BANNER.OverviewStart,WORKDAY(AAZ19+13,1,S.DDL_DEQClosed))</f>
        <v>41501</v>
      </c>
      <c r="ABB19" s="100">
        <f>VLOOKUP(S.EQCMeeting,VL_EQCActivities,1,TRUE)</f>
        <v>41563</v>
      </c>
      <c r="ABC19" s="320">
        <f>VLOOKUP(ABB19-ABD19,VL_EQCActivities,TRUE)</f>
        <v>41507</v>
      </c>
      <c r="ABD19" s="339">
        <f>VLOOKUP(ABB19,VL_EQCActivities,4,FALSE)</f>
        <v>56</v>
      </c>
    </row>
    <row r="20" spans="1:735" s="23" customFormat="1" ht="6" customHeight="1">
      <c r="A20" s="558"/>
      <c r="B20" s="203"/>
      <c r="C20" s="693"/>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185</v>
      </c>
      <c r="AAG20" s="84"/>
      <c r="AAH20" s="77"/>
      <c r="AAI20" s="211"/>
      <c r="AAJ20" s="81"/>
      <c r="AAK20" s="523"/>
      <c r="AAL20" s="85"/>
      <c r="AAM20" s="112"/>
      <c r="AAO20" s="746"/>
      <c r="AAP20" s="738">
        <f>SUM(AAP13:AAP19)</f>
        <v>164</v>
      </c>
      <c r="AAQ20" s="738">
        <f>SUM(AAQ13:AAQ19)</f>
        <v>147</v>
      </c>
      <c r="AAR20" s="738">
        <f>SUM(AAR13:AAR19)</f>
        <v>130</v>
      </c>
      <c r="AAS20" s="738">
        <f>SUM(AAS13:AAS19)</f>
        <v>113</v>
      </c>
      <c r="AAU20"/>
      <c r="AAV20"/>
      <c r="AAW20"/>
      <c r="AAX20"/>
      <c r="AAY20"/>
      <c r="AAZ20"/>
      <c r="ABA20"/>
      <c r="ABB20"/>
      <c r="ABC20"/>
      <c r="ABD20"/>
    </row>
    <row r="21" spans="1:735" ht="20.100000000000001" customHeight="1">
      <c r="A21" s="558"/>
      <c r="B21" s="130" t="str">
        <f t="shared" si="714"/>
        <v>3-Fees Not Involved</v>
      </c>
      <c r="C21" s="685"/>
      <c r="D21" s="133" t="s">
        <v>0</v>
      </c>
      <c r="E21" s="544">
        <f t="shared" ref="E21" si="716">NETWORKDAYS(G21,H21,S.DDL_DEQClosed)</f>
        <v>71</v>
      </c>
      <c r="F21" s="543">
        <f t="shared" ref="F21" ca="1" si="717">NETWORKDAYS(TODAY(),H21,S.DDL_DEQClosed)</f>
        <v>9</v>
      </c>
      <c r="G21" s="522">
        <f>AAG21</f>
        <v>41369</v>
      </c>
      <c r="H21" s="519">
        <f>AAH21</f>
        <v>41473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0</v>
      </c>
      <c r="AAF21" s="112" t="s">
        <v>0</v>
      </c>
      <c r="AAG21" s="78">
        <f>IF(S.InvolveFee=TRUE,WORKDAY(S.BANNER.OverviewStart,30,S.DDL_DEQClosed),S.BANNER.OverviewStart)</f>
        <v>41369</v>
      </c>
      <c r="AAH21" s="78">
        <f>S.BANNER.FeeEnd</f>
        <v>41473</v>
      </c>
      <c r="AAI21" s="334" t="b">
        <f>IF(AND(S.InvolveFee,AAJ22=1),TRUE,FALSE)</f>
        <v>0</v>
      </c>
      <c r="AAJ21" s="81" t="b">
        <v>0</v>
      </c>
      <c r="AAK21" s="523"/>
      <c r="AAL21" s="83" t="str">
        <f>IF(S.InvolveFee=TRUE,"3-Fees Involved","3-Fees Not Involved")</f>
        <v>3-Fees Not Involved</v>
      </c>
      <c r="AAM21" s="112"/>
      <c r="AAN21"/>
      <c r="AAO21" s="746"/>
      <c r="AAP21" s="738"/>
      <c r="AAQ21" s="738"/>
      <c r="AAR21" s="738"/>
      <c r="AAS21" s="738"/>
      <c r="AAT21" s="23"/>
    </row>
    <row r="22" spans="1:735" s="23" customFormat="1" ht="20.100000000000001" customHeight="1">
      <c r="A22" s="558"/>
      <c r="B22" s="134" t="str">
        <f t="shared" si="714"/>
        <v>DAS - Fee approval not involved</v>
      </c>
      <c r="C22" s="694"/>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0</v>
      </c>
      <c r="AAF22" s="583" t="s">
        <v>185</v>
      </c>
      <c r="AAG22" s="84"/>
      <c r="AAH22" s="84" t="s">
        <v>0</v>
      </c>
      <c r="AAI22" s="84"/>
      <c r="AAJ22" s="86">
        <v>2</v>
      </c>
      <c r="AAK22" s="523"/>
      <c r="AAL22" s="83" t="str">
        <f>IF(S.InvolveFee=TRUE,"DAS - Fee approval required","DAS - Fee approval not involved")</f>
        <v>DAS - Fee approval not involved</v>
      </c>
      <c r="AAM22" s="112"/>
      <c r="AAO22" s="23" t="s">
        <v>0</v>
      </c>
      <c r="AAP22"/>
      <c r="AAQ22"/>
      <c r="AAR22"/>
      <c r="AAS22"/>
      <c r="AAT22" s="23" t="s">
        <v>0</v>
      </c>
      <c r="ABB22"/>
    </row>
    <row r="23" spans="1:735" s="23" customFormat="1" ht="20.100000000000001" customHeight="1">
      <c r="A23" s="558"/>
      <c r="B23" s="134" t="str">
        <f t="shared" si="714"/>
        <v>DAS - Email notice not involved</v>
      </c>
      <c r="C23" s="694"/>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0</v>
      </c>
      <c r="AAF23" s="583" t="s">
        <v>185</v>
      </c>
      <c r="AAG23" s="84"/>
      <c r="AAH23" s="84"/>
      <c r="AAI23" s="84"/>
      <c r="AAJ23" s="77"/>
      <c r="AAK23" s="341"/>
      <c r="AAL23" s="83" t="str">
        <f>IF(S.InvolveFee=TRUE,"DAS - Fee approval NOT required","DAS - Email notice not involved")</f>
        <v>DAS - Email notice not involved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4"/>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185</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19.5" customHeight="1">
      <c r="A25" s="558"/>
      <c r="B25" s="764" t="str">
        <f t="shared" si="714"/>
        <v>4-Public Notice WITH hearing</v>
      </c>
      <c r="C25" s="764"/>
      <c r="D25" s="764"/>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185</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74" t="str">
        <f>AAL26</f>
        <v>EPA - submit 45 days BEFORE 1st hearing (H31)</v>
      </c>
      <c r="C26" s="775"/>
      <c r="D26" s="775"/>
      <c r="E26" s="518" t="s">
        <v>0</v>
      </c>
      <c r="F26" s="321">
        <f t="shared" ref="F26" ca="1" si="718">NETWORKDAYS(TODAY(),H26,S.DDL_DEQClosed)</f>
        <v>-5</v>
      </c>
      <c r="G26" s="650">
        <f>S.SubmitNoticeToEPA</f>
        <v>41456</v>
      </c>
      <c r="H26" s="322">
        <f>AAH26</f>
        <v>41456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41456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40" t="str">
        <f>AAL27</f>
        <v>DAS - fees not involved</v>
      </c>
      <c r="C27" s="740"/>
      <c r="D27" s="740"/>
      <c r="E27" s="518" t="s">
        <v>0</v>
      </c>
      <c r="F27" s="321">
        <f t="shared" ref="F27" ca="1" si="719">NETWORKDAYS(TODAY(),H27,S.DDL_DEQClosed)</f>
        <v>-63</v>
      </c>
      <c r="G27" s="650">
        <f>S.SubmitFeeToDAS</f>
        <v>41369</v>
      </c>
      <c r="H27" s="322">
        <f>AAH27</f>
        <v>41369</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0</v>
      </c>
      <c r="AAF27" s="112" t="s">
        <v>0</v>
      </c>
      <c r="AAG27" s="65"/>
      <c r="AAH27" s="78">
        <f>IF(S.DASApprovalRequired=TRUE,WORKDAY(S.SubmitNoticeToSOS-31,1,S.DDL_DEQClosed),IF(S.InvolveFee=TRUE,S.SubmitNoticeToSOS,S.BANNER.OverviewStart))</f>
        <v>41369</v>
      </c>
      <c r="AAI27" s="77"/>
      <c r="AAJ27" s="77"/>
      <c r="AAK27" s="580">
        <f>IF(AND(S.InvolveSIP=FALSE,S.InvolveCommittee=FALSE,S.InvolveFee=FALSE),0,IF(AND(S.InvolveSIP=TRUE,S.InvolveCommittee=TRUE,S.DASApprovalRequired=TRUE),28,14))</f>
        <v>14</v>
      </c>
      <c r="AAL27" s="83" t="str">
        <f>IF(AND(S.InvolveFee=TRUE,AAJ22=1),"DAS - submit Part 1, about 30 days BEFORE SOS submittal (H28)",IF(AND(S.InvolveFee=TRUE,AAJ22=2),"DAS - email notification before Oregon Bulletin publication","DAS - fees not involved"))</f>
        <v>DAS - fees not involved</v>
      </c>
      <c r="AAM27" s="112"/>
      <c r="AAU27" s="44"/>
      <c r="AAX27" s="329"/>
      <c r="AAY27" s="329"/>
      <c r="AAZ27" s="329"/>
      <c r="ABA27" s="329"/>
      <c r="ABB27" s="329"/>
      <c r="ABC27" s="329"/>
      <c r="ABD27" s="329"/>
      <c r="ABE27" s="329"/>
      <c r="ABF27" s="329"/>
      <c r="ABG27" s="329"/>
    </row>
    <row r="28" spans="1:735" s="23" customFormat="1" ht="16.7" customHeight="1">
      <c r="A28" s="558"/>
      <c r="B28" s="740" t="str">
        <f t="shared" si="714"/>
        <v>SOS - submit on workday &lt;=15th of month BEFORE Bulletin (H29)</v>
      </c>
      <c r="C28" s="740"/>
      <c r="D28" s="740"/>
      <c r="E28" s="518"/>
      <c r="F28" s="321">
        <f ca="1">NETWORKDAYS(TODAY(),H28,S.DDL_DEQClosed)</f>
        <v>6</v>
      </c>
      <c r="G28" s="650">
        <f>S.SubmitNoticeToSOS</f>
        <v>41470</v>
      </c>
      <c r="H28" s="322">
        <f>AAH28</f>
        <v>41470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41470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c r="B29" s="509" t="str">
        <f t="shared" ref="B29" si="720">AAL29</f>
        <v>SOS - Bulletin always publishes 1st of month</v>
      </c>
      <c r="C29" s="694"/>
      <c r="D29" s="744" t="str">
        <f>AAI29</f>
        <v/>
      </c>
      <c r="E29" s="745"/>
      <c r="F29" s="321">
        <f ca="1">NETWORKDAYS(TODAY(),H29,S.DDL_DEQClosed)</f>
        <v>19</v>
      </c>
      <c r="G29" s="651" t="s">
        <v>0</v>
      </c>
      <c r="H29" s="585">
        <v>41487</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41487</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181</v>
      </c>
      <c r="C30" s="695"/>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185</v>
      </c>
      <c r="AAG30" s="77"/>
      <c r="AAH30" s="77"/>
      <c r="AAI30" s="77"/>
      <c r="AAJ30" s="77"/>
      <c r="AAK30" s="341"/>
      <c r="AAL30" s="210" t="s">
        <v>232</v>
      </c>
      <c r="AAM30" s="112"/>
      <c r="AAN30" s="572" t="s">
        <v>0</v>
      </c>
      <c r="AAU30" s="44"/>
      <c r="AAV30"/>
      <c r="AAW30"/>
      <c r="AAX30"/>
      <c r="AAY30"/>
      <c r="AAZ30"/>
      <c r="ABA30"/>
      <c r="ABB30"/>
      <c r="ABC30"/>
      <c r="ABD30"/>
    </row>
    <row r="31" spans="1:735" ht="16.7" customHeight="1">
      <c r="A31" s="558"/>
      <c r="B31" s="739" t="str">
        <f>AAL31</f>
        <v>First Hearing =&gt; 15th workday AFTER Bulletin (H29)</v>
      </c>
      <c r="C31" s="739"/>
      <c r="D31" s="739"/>
      <c r="E31" s="515"/>
      <c r="F31" s="321">
        <f t="shared" ref="F31:F40" ca="1" si="721">NETWORKDAYS(TODAY(),H31,S.DDL_DEQClosed)</f>
        <v>29</v>
      </c>
      <c r="G31" s="650">
        <f>S.FirstHearingDate</f>
        <v>41501</v>
      </c>
      <c r="H31" s="322">
        <f>AAH31</f>
        <v>41501</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41501</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6"/>
      <c r="D32" s="139"/>
      <c r="E32" s="124"/>
      <c r="F32" s="321">
        <f ca="1">NETWORKDAYS(TODAY(),H32,S.DDL_DEQClosed)</f>
        <v>31</v>
      </c>
      <c r="G32" s="650">
        <f>S.CloseComment</f>
        <v>41505</v>
      </c>
      <c r="H32" s="322">
        <f>AAH32</f>
        <v>41505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41505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6"/>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185</v>
      </c>
      <c r="AAG33" s="84"/>
      <c r="AAH33" s="84"/>
      <c r="AAI33" s="77"/>
      <c r="AAJ33" s="87"/>
      <c r="AAK33" s="577"/>
      <c r="AAL33" s="116"/>
      <c r="AAM33" s="112"/>
      <c r="AAU33" s="44"/>
    </row>
    <row r="34" spans="1:732" s="23" customFormat="1" ht="17.100000000000001" customHeight="1">
      <c r="A34" s="558"/>
      <c r="B34" s="143" t="s">
        <v>253</v>
      </c>
      <c r="C34" s="697" t="s">
        <v>72</v>
      </c>
      <c r="D34" s="138"/>
      <c r="E34" s="124"/>
      <c r="F34" s="321">
        <f ca="1">NETWORKDAYS(TODAY(),H34,S.DDL_DEQClosed)</f>
        <v>46</v>
      </c>
      <c r="G34" s="650">
        <f>S.SubmitStaffRpt</f>
        <v>41527</v>
      </c>
      <c r="H34" s="323">
        <f>AAH34</f>
        <v>41527</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41527</v>
      </c>
      <c r="AAI34" s="77"/>
      <c r="AAJ34" s="56"/>
      <c r="AAK34" s="580">
        <v>41</v>
      </c>
      <c r="AAL34" s="39" t="s">
        <v>322</v>
      </c>
      <c r="AAM34" s="112"/>
      <c r="AAU34" s="44"/>
    </row>
    <row r="35" spans="1:732" s="23" customFormat="1" ht="17.100000000000001" customHeight="1">
      <c r="A35" s="558"/>
      <c r="B35" s="143" t="s">
        <v>263</v>
      </c>
      <c r="C35" s="697" t="s">
        <v>72</v>
      </c>
      <c r="D35" s="138"/>
      <c r="E35" s="124"/>
      <c r="F35" s="321">
        <f ca="1">NETWORKDAYS(TODAY(),H35,S.DDL_DEQClosed)</f>
        <v>72</v>
      </c>
      <c r="G35" s="650">
        <f>H35</f>
        <v>41563</v>
      </c>
      <c r="H35" s="324">
        <f>AAH35</f>
        <v>41563</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41563</v>
      </c>
      <c r="AAI35" s="65"/>
      <c r="AAJ35" s="56"/>
      <c r="AAK35" s="578"/>
      <c r="AAL35" s="39"/>
      <c r="AAM35" s="112"/>
      <c r="AAU35" s="44"/>
    </row>
    <row r="36" spans="1:732" s="23" customFormat="1" ht="20.100000000000001" customHeight="1">
      <c r="A36" s="558"/>
      <c r="B36" s="140" t="s">
        <v>183</v>
      </c>
      <c r="C36" s="696"/>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185</v>
      </c>
      <c r="AAG36" s="112"/>
      <c r="AAH36" s="87"/>
      <c r="AAI36" s="65"/>
      <c r="AAJ36" s="87"/>
      <c r="AAK36" s="581">
        <f>AAK6+AAK27+AAK29+AAK31+AAK34</f>
        <v>127</v>
      </c>
      <c r="AAL36" s="116"/>
      <c r="AAM36" s="112"/>
      <c r="AAU36" s="44"/>
    </row>
    <row r="37" spans="1:732" s="23" customFormat="1" ht="17.100000000000001" customHeight="1">
      <c r="A37" s="558"/>
      <c r="B37" s="772" t="s">
        <v>249</v>
      </c>
      <c r="C37" s="772"/>
      <c r="D37" s="772"/>
      <c r="E37" s="124"/>
      <c r="F37" s="321">
        <f t="shared" ref="F37" ca="1" si="722">NETWORKDAYS(TODAY(),H37,S.DDL_DEQClosed)</f>
        <v>74</v>
      </c>
      <c r="G37" s="650">
        <f>S.FileRuleWithSOS</f>
        <v>41565</v>
      </c>
      <c r="H37" s="322">
        <f>AAH37</f>
        <v>41565</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41565</v>
      </c>
      <c r="AAI37" s="65"/>
      <c r="AAJ37" s="77"/>
      <c r="AAK37" s="341"/>
      <c r="AAL37" s="77"/>
      <c r="AAM37" s="112"/>
      <c r="AAU37" s="44"/>
    </row>
    <row r="38" spans="1:732" s="23" customFormat="1" ht="17.100000000000001" customHeight="1">
      <c r="A38" s="558"/>
      <c r="B38" s="142" t="str">
        <f>AAL38</f>
        <v>EPA - submit SIP</v>
      </c>
      <c r="C38" s="694"/>
      <c r="D38" s="142"/>
      <c r="E38" s="124"/>
      <c r="F38" s="321">
        <f t="shared" ref="F38" ca="1" si="723">NETWORKDAYS(TODAY(),H38,S.DDL_DEQClosed)</f>
        <v>82</v>
      </c>
      <c r="G38" s="650">
        <f>S.SubmitSIPToEPA.PostEQC</f>
        <v>41577</v>
      </c>
      <c r="H38" s="322">
        <f>AAH38</f>
        <v>41577</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41577</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72" t="str">
        <f>IF(S.InvolveFee=FALSE,"DAS - fees not involved",IF(AAJ22=1,"DAS - submit Part 2 within 10 days after EQC rulemaking action","DAS - email notification within 10 days after EQC rulemaking action"))</f>
        <v>DAS - fees not involved</v>
      </c>
      <c r="C39" s="772"/>
      <c r="D39" s="772"/>
      <c r="E39" s="124"/>
      <c r="F39" s="321">
        <f t="shared" ref="F39" ca="1" si="724">NETWORKDAYS(TODAY(),H39,S.DDL_DEQClosed)</f>
        <v>75</v>
      </c>
      <c r="G39" s="650">
        <f>S.SubmitDASPart2</f>
        <v>41568</v>
      </c>
      <c r="H39" s="322">
        <f>AAH39</f>
        <v>41568</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0</v>
      </c>
      <c r="AAF39" s="112" t="s">
        <v>0</v>
      </c>
      <c r="AAG39" s="112" t="s">
        <v>0</v>
      </c>
      <c r="AAH39" s="78">
        <f>WORKDAY(S.EQCMeeting+5,0,S.DDL_DEQClosed)</f>
        <v>41568</v>
      </c>
      <c r="AAI39" s="65"/>
      <c r="AAJ39" s="77"/>
      <c r="AAK39" s="341"/>
      <c r="AAL39" s="83" t="str">
        <f>IF(S.InvolveFee=FALSE,"DAS - fees not involved",IF(AAJ22=1,"DAS - submit Part 2 within ten days after EQC rulemaking action","DAS - email notification within 10 days after EQC rulemaking action"))</f>
        <v>DAS - fees not involved</v>
      </c>
      <c r="AAM39" s="112"/>
      <c r="AAU39" s="44"/>
      <c r="AAV39"/>
      <c r="AAW39"/>
      <c r="AAX39"/>
      <c r="AAY39"/>
      <c r="AAZ39"/>
      <c r="ABA39"/>
      <c r="ABB39"/>
      <c r="ABC39"/>
      <c r="ABD39"/>
    </row>
    <row r="40" spans="1:732" ht="17.100000000000001" customHeight="1">
      <c r="A40" s="558"/>
      <c r="B40" s="771" t="s">
        <v>264</v>
      </c>
      <c r="C40" s="771"/>
      <c r="D40" s="139" t="s">
        <v>0</v>
      </c>
      <c r="E40" s="124"/>
      <c r="F40" s="321">
        <f t="shared" ca="1" si="721"/>
        <v>74</v>
      </c>
      <c r="G40" s="650">
        <f>S.RuleEffective</f>
        <v>41565</v>
      </c>
      <c r="H40" s="322">
        <f>AAH40</f>
        <v>41565</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41565</v>
      </c>
      <c r="AAI40" s="78">
        <f>S.EQCMeeting+10</f>
        <v>41573</v>
      </c>
      <c r="AAJ40" s="55"/>
      <c r="AAK40" s="55"/>
      <c r="AAL40" s="39"/>
      <c r="AAM40" s="112"/>
      <c r="AAN40"/>
      <c r="AAT40" s="23"/>
      <c r="AAU40" s="44"/>
      <c r="AAW40" s="23" t="s">
        <v>0</v>
      </c>
    </row>
    <row r="41" spans="1:732" ht="6.75" customHeight="1">
      <c r="A41" s="558"/>
      <c r="B41" s="144"/>
      <c r="C41" s="689"/>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185</v>
      </c>
      <c r="AAG41" s="76"/>
      <c r="AAH41" s="76"/>
      <c r="AAI41" s="65"/>
      <c r="AAJ41" s="55"/>
      <c r="AAK41" s="55"/>
      <c r="AAL41" s="39"/>
      <c r="AAM41" s="112"/>
      <c r="AAN41"/>
      <c r="AAT41" s="23"/>
      <c r="AAU41" s="44"/>
    </row>
    <row r="42" spans="1:732" s="23" customFormat="1" ht="18" customHeight="1">
      <c r="A42" s="558"/>
      <c r="B42" s="202" t="s">
        <v>255</v>
      </c>
      <c r="C42" s="698" t="s">
        <v>259</v>
      </c>
      <c r="D42" s="148"/>
      <c r="E42" s="777"/>
      <c r="F42" s="777"/>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185</v>
      </c>
      <c r="AAG42" s="112"/>
      <c r="AAH42" s="112"/>
      <c r="AAI42" s="77"/>
      <c r="AAJ42" s="90"/>
      <c r="AAK42" s="90"/>
      <c r="AAL42" s="76"/>
      <c r="AAM42" s="112"/>
      <c r="AAU42" s="44"/>
    </row>
    <row r="43" spans="1:732" s="23" customFormat="1" ht="18" customHeight="1">
      <c r="A43" s="558"/>
      <c r="B43" s="222" t="s">
        <v>15</v>
      </c>
      <c r="C43" s="698"/>
      <c r="D43" s="150" t="s">
        <v>260</v>
      </c>
      <c r="E43" s="743" t="s">
        <v>193</v>
      </c>
      <c r="F43" s="207" t="s">
        <v>2</v>
      </c>
      <c r="G43" s="152" t="s">
        <v>261</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258</v>
      </c>
      <c r="AAF43" s="583" t="s">
        <v>185</v>
      </c>
      <c r="AAG43" s="112"/>
      <c r="AAH43" s="112"/>
      <c r="AAI43" s="77"/>
      <c r="AAJ43" s="90"/>
      <c r="AAK43" s="90"/>
      <c r="AAL43" s="76"/>
      <c r="AAM43" s="112"/>
      <c r="AAU43" s="44"/>
    </row>
    <row r="44" spans="1:732" ht="18" customHeight="1">
      <c r="A44" s="558"/>
      <c r="B44" s="223"/>
      <c r="C44" s="224"/>
      <c r="D44" s="225"/>
      <c r="E44" s="743"/>
      <c r="F44" s="373">
        <f>NETWORKDAYS(S.BANNER.PlanningStart,S.BANNER.PlanningEnd,S.DDL_DEQClosed)</f>
        <v>83</v>
      </c>
      <c r="G44" s="616">
        <f>S.BANNER.OverviewStart</f>
        <v>41369</v>
      </c>
      <c r="H44" s="226">
        <f>AAH44</f>
        <v>41491</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258</v>
      </c>
      <c r="AAF44" s="583" t="s">
        <v>185</v>
      </c>
      <c r="AAG44" s="78">
        <f>S.BANNER.OverviewStart</f>
        <v>41369</v>
      </c>
      <c r="AAH44" s="78">
        <f>WORKDAY(S.PublicNoticeInBulletin+1,1,S.DDL_DEQClosed)</f>
        <v>41491</v>
      </c>
      <c r="AAI44" s="77"/>
      <c r="AAJ44" s="90"/>
      <c r="AAK44" s="90"/>
      <c r="AAL44" s="76"/>
      <c r="AAM44" s="112"/>
      <c r="AAN44"/>
      <c r="AAT44" s="23"/>
      <c r="AAU44" s="44"/>
    </row>
    <row r="45" spans="1:732" ht="6" customHeight="1">
      <c r="A45" s="558"/>
      <c r="B45" s="206"/>
      <c r="C45" s="688"/>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185</v>
      </c>
      <c r="AAG45" s="63"/>
      <c r="AAH45" s="63"/>
      <c r="AAI45" s="77"/>
      <c r="AAJ45" s="91" t="s">
        <v>73</v>
      </c>
      <c r="AAK45" s="91"/>
      <c r="AAL45" s="40"/>
      <c r="AAM45" s="112"/>
      <c r="AAN45"/>
      <c r="AAT45" s="23"/>
      <c r="AAU45" s="44"/>
    </row>
    <row r="46" spans="1:732" ht="15.75" customHeight="1" outlineLevel="1">
      <c r="A46" s="558"/>
      <c r="B46" s="670" t="s">
        <v>332</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185</v>
      </c>
      <c r="AAG46" s="63"/>
      <c r="AAH46" s="63"/>
      <c r="AAI46" s="77"/>
      <c r="AAJ46" s="56"/>
      <c r="AAK46" s="56"/>
      <c r="AAL46" s="39"/>
      <c r="AAM46" s="112"/>
      <c r="AAN46"/>
      <c r="AAT46" s="23"/>
      <c r="AAU46" s="44"/>
    </row>
    <row r="47" spans="1:732" ht="15.75" customHeight="1" outlineLevel="1">
      <c r="A47" s="558"/>
      <c r="B47" s="669" t="s">
        <v>327</v>
      </c>
      <c r="C47" s="347"/>
      <c r="D47" s="169" t="s">
        <v>159</v>
      </c>
      <c r="E47" s="368">
        <f t="shared" ref="E47:E50" si="725">NETWORKDAYS(G47,H47,S.DDL_DEQClosed)</f>
        <v>7</v>
      </c>
      <c r="F47" s="368">
        <f ca="1">NETWORKDAYS(TODAY(),H47)</f>
        <v>-61</v>
      </c>
      <c r="G47" s="369">
        <f>AAG47</f>
        <v>41369</v>
      </c>
      <c r="H47" s="369">
        <v>41379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76</v>
      </c>
      <c r="C48" s="347"/>
      <c r="D48" s="169" t="s">
        <v>269</v>
      </c>
      <c r="E48" s="368">
        <f t="shared" si="725"/>
        <v>31</v>
      </c>
      <c r="F48" s="368">
        <f ca="1">NETWORKDAYS(TODAY(),H48)</f>
        <v>-36</v>
      </c>
      <c r="G48" s="369">
        <v>41369</v>
      </c>
      <c r="H48" s="369">
        <v>41414</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41379</v>
      </c>
      <c r="AAH48" s="78">
        <f t="shared" ref="AAH48:AAH50" si="726">G48</f>
        <v>41369</v>
      </c>
      <c r="AAI48" s="77"/>
      <c r="AAJ48" s="56"/>
      <c r="AAK48" s="56"/>
      <c r="AAL48" s="39"/>
      <c r="AAM48" s="112"/>
      <c r="AAN48"/>
      <c r="AAT48" s="23"/>
      <c r="AAU48" s="44"/>
    </row>
    <row r="49" spans="1:732" ht="15.75" customHeight="1" outlineLevel="1">
      <c r="A49" s="558"/>
      <c r="B49" s="348" t="s">
        <v>328</v>
      </c>
      <c r="C49" s="347"/>
      <c r="D49" s="169" t="s">
        <v>269</v>
      </c>
      <c r="E49" s="368">
        <f t="shared" si="725"/>
        <v>1</v>
      </c>
      <c r="F49" s="368">
        <f ca="1">NETWORKDAYS(TODAY(),H49)</f>
        <v>-67</v>
      </c>
      <c r="G49" s="369">
        <v>41369</v>
      </c>
      <c r="H49" s="369">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7">H48</f>
        <v>41414</v>
      </c>
      <c r="AAH49" s="78">
        <f t="shared" si="726"/>
        <v>41369</v>
      </c>
      <c r="AAI49" s="77"/>
      <c r="AAJ49" s="56"/>
      <c r="AAK49" s="56"/>
      <c r="AAL49" s="39"/>
      <c r="AAM49" s="112"/>
      <c r="AAN49"/>
      <c r="AAT49" s="23"/>
      <c r="AAU49" s="44"/>
    </row>
    <row r="50" spans="1:732" ht="15.75" customHeight="1" outlineLevel="1">
      <c r="A50" s="558"/>
      <c r="B50" s="349" t="s">
        <v>276</v>
      </c>
      <c r="C50" s="347"/>
      <c r="D50" s="169" t="s">
        <v>385</v>
      </c>
      <c r="E50" s="368">
        <f t="shared" si="725"/>
        <v>1</v>
      </c>
      <c r="F50" s="368">
        <f ca="1">NETWORKDAYS(TODAY(),H50)</f>
        <v>-36</v>
      </c>
      <c r="G50" s="369">
        <v>41414</v>
      </c>
      <c r="H50" s="370">
        <f>AAH50</f>
        <v>41414</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7"/>
        <v>41369</v>
      </c>
      <c r="AAH50" s="78">
        <f t="shared" si="726"/>
        <v>41414</v>
      </c>
      <c r="AAI50" s="77"/>
      <c r="AAJ50" s="56"/>
      <c r="AAK50" s="56"/>
      <c r="AAL50" s="39"/>
      <c r="AAM50" s="112"/>
      <c r="AAN50"/>
      <c r="AAT50" s="23"/>
      <c r="AAU50" s="44"/>
    </row>
    <row r="51" spans="1:732" ht="15.75" customHeight="1" outlineLevel="1">
      <c r="A51" s="558"/>
      <c r="B51" s="350" t="s">
        <v>75</v>
      </c>
      <c r="C51" s="699"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185</v>
      </c>
      <c r="AAG51" s="76"/>
      <c r="AAH51" s="76"/>
      <c r="AAI51" s="76"/>
      <c r="AAJ51" s="56"/>
      <c r="AAK51" s="56"/>
      <c r="AAL51" s="39"/>
      <c r="AAM51" s="112"/>
      <c r="AAN51"/>
      <c r="AAT51" s="23"/>
      <c r="AAU51" s="44"/>
    </row>
    <row r="52" spans="1:732" ht="15.75" customHeight="1" outlineLevel="1">
      <c r="A52" s="558"/>
      <c r="B52" s="350" t="s">
        <v>134</v>
      </c>
      <c r="C52" s="699"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185</v>
      </c>
      <c r="AAG52" s="76"/>
      <c r="AAH52" s="76"/>
      <c r="AAI52" s="76"/>
      <c r="AAJ52" s="56"/>
      <c r="AAK52" s="56"/>
      <c r="AAL52" s="39"/>
      <c r="AAM52" s="112"/>
      <c r="AAN52"/>
      <c r="AAT52" s="23"/>
      <c r="AAU52" s="44"/>
    </row>
    <row r="53" spans="1:732" ht="15.75" customHeight="1" outlineLevel="1">
      <c r="A53" s="558"/>
      <c r="B53" s="350" t="s">
        <v>71</v>
      </c>
      <c r="C53" s="673"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185</v>
      </c>
      <c r="AAG53" s="76"/>
      <c r="AAH53" s="76"/>
      <c r="AAI53" s="76"/>
      <c r="AAJ53" s="56"/>
      <c r="AAK53" s="56"/>
      <c r="AAL53" s="39"/>
      <c r="AAM53" s="112"/>
      <c r="AAN53"/>
      <c r="AAT53" s="23"/>
      <c r="AAU53" s="44"/>
    </row>
    <row r="54" spans="1:732" ht="15.75" customHeight="1" outlineLevel="1">
      <c r="A54" s="558"/>
      <c r="B54" s="350" t="s">
        <v>70</v>
      </c>
      <c r="C54" s="700"/>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185</v>
      </c>
      <c r="AAG54" s="76"/>
      <c r="AAH54" s="76"/>
      <c r="AAI54" s="76"/>
      <c r="AAJ54" s="56"/>
      <c r="AAK54" s="56"/>
      <c r="AAL54" s="39"/>
      <c r="AAM54" s="112"/>
      <c r="AAN54"/>
      <c r="AAT54" s="23"/>
      <c r="AAU54" s="44"/>
    </row>
    <row r="55" spans="1:732" ht="15.75" customHeight="1" outlineLevel="1">
      <c r="A55" s="558"/>
      <c r="B55" s="350" t="s">
        <v>277</v>
      </c>
      <c r="C55" s="701"/>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185</v>
      </c>
      <c r="AAG55" s="76"/>
      <c r="AAH55" s="76"/>
      <c r="AAI55" s="76"/>
      <c r="AAJ55" s="56"/>
      <c r="AAK55" s="56"/>
      <c r="AAL55" s="39"/>
      <c r="AAM55" s="112"/>
      <c r="AAN55"/>
      <c r="AAT55" s="23"/>
      <c r="AAU55" s="44"/>
    </row>
    <row r="56" spans="1:732" ht="15.75" customHeight="1" outlineLevel="1">
      <c r="A56" s="558"/>
      <c r="B56" s="350" t="s">
        <v>329</v>
      </c>
      <c r="C56" s="701"/>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185</v>
      </c>
      <c r="AAG56" s="76"/>
      <c r="AAH56" s="76"/>
      <c r="AAI56" s="76"/>
      <c r="AAJ56" s="56"/>
      <c r="AAK56" s="56"/>
      <c r="AAL56" s="39"/>
      <c r="AAM56" s="112"/>
      <c r="AAN56"/>
      <c r="AAT56" s="23"/>
      <c r="AAU56" s="44"/>
    </row>
    <row r="57" spans="1:732" ht="15.75" customHeight="1" outlineLevel="1">
      <c r="A57" s="558"/>
      <c r="B57" s="357" t="s">
        <v>363</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185</v>
      </c>
      <c r="AAG57" s="76"/>
      <c r="AAH57" s="76"/>
      <c r="AAI57" s="76"/>
      <c r="AAJ57" s="56"/>
      <c r="AAK57" s="56"/>
      <c r="AAL57" s="39"/>
      <c r="AAM57" s="112"/>
      <c r="AAN57"/>
      <c r="AAT57" s="23"/>
      <c r="AAU57" s="44"/>
    </row>
    <row r="58" spans="1:732" ht="15.75" customHeight="1" outlineLevel="1">
      <c r="A58" s="558"/>
      <c r="B58" s="358" t="s">
        <v>333</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185</v>
      </c>
      <c r="AAG58" s="76"/>
      <c r="AAH58" s="76"/>
      <c r="AAI58" s="76"/>
      <c r="AAJ58" s="56"/>
      <c r="AAK58" s="56"/>
      <c r="AAL58" s="39"/>
      <c r="AAM58" s="112"/>
      <c r="AAN58"/>
      <c r="AAT58" s="23"/>
      <c r="AAU58" s="44"/>
    </row>
    <row r="59" spans="1:732" ht="15.75" customHeight="1" outlineLevel="1">
      <c r="A59" s="558"/>
      <c r="B59" s="358" t="s">
        <v>325</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185</v>
      </c>
      <c r="AAG59" s="76"/>
      <c r="AAH59" s="76"/>
      <c r="AAI59" s="76"/>
      <c r="AAJ59" s="56"/>
      <c r="AAK59" s="56"/>
      <c r="AAL59" s="39"/>
      <c r="AAM59" s="112"/>
      <c r="AAN59"/>
      <c r="AAT59" s="23"/>
      <c r="AAU59" s="44"/>
    </row>
    <row r="60" spans="1:732" ht="15.75" customHeight="1" outlineLevel="1">
      <c r="A60" s="558"/>
      <c r="B60" s="358" t="s">
        <v>334</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185</v>
      </c>
      <c r="AAG60" s="76"/>
      <c r="AAH60" s="76"/>
      <c r="AAI60" s="76"/>
      <c r="AAJ60" s="56"/>
      <c r="AAK60" s="56"/>
      <c r="AAL60" s="39"/>
      <c r="AAM60" s="112"/>
      <c r="AAN60"/>
      <c r="AAT60" s="23"/>
      <c r="AAU60" s="44"/>
    </row>
    <row r="61" spans="1:732" ht="15.75" customHeight="1" outlineLevel="1">
      <c r="A61" s="558"/>
      <c r="B61" s="358" t="s">
        <v>335</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0</v>
      </c>
      <c r="AAF61" s="583" t="s">
        <v>185</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336</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185</v>
      </c>
      <c r="AAG62" s="76"/>
      <c r="AAH62" s="76"/>
      <c r="AAI62" s="76"/>
      <c r="AAJ62" s="56"/>
      <c r="AAK62" s="56"/>
      <c r="AAL62" s="39"/>
      <c r="AAM62" s="112"/>
      <c r="AAU62" s="44"/>
      <c r="AAV62"/>
      <c r="AAW62"/>
      <c r="AAX62"/>
      <c r="AAY62"/>
      <c r="AAZ62"/>
      <c r="ABA62"/>
      <c r="ABB62"/>
      <c r="ABC62"/>
      <c r="ABD62"/>
    </row>
    <row r="63" spans="1:732" ht="15.75" customHeight="1" outlineLevel="1">
      <c r="A63" s="558"/>
      <c r="B63" s="358" t="s">
        <v>337</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185</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185</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185</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185</v>
      </c>
      <c r="AAG66" s="76"/>
      <c r="AAH66" s="76"/>
      <c r="AAI66" s="77"/>
      <c r="AAJ66" s="56"/>
      <c r="AAK66" s="56"/>
      <c r="AAL66" s="76"/>
      <c r="AAM66" s="112"/>
      <c r="AAN66"/>
      <c r="AAT66" s="23"/>
      <c r="AAU66" s="44"/>
    </row>
    <row r="67" spans="1:732" s="23" customFormat="1" ht="15.75" customHeight="1" outlineLevel="1">
      <c r="A67" s="558"/>
      <c r="B67" s="730" t="s">
        <v>197</v>
      </c>
      <c r="C67" s="347"/>
      <c r="D67" s="229" t="s">
        <v>199</v>
      </c>
      <c r="E67" s="368">
        <f>NETWORKDAYS(G67,H67,S.DDL_DEQClosed)</f>
        <v>8</v>
      </c>
      <c r="F67" s="368">
        <f ca="1">NETWORKDAYS(TODAY(),H67)</f>
        <v>-27</v>
      </c>
      <c r="G67" s="369">
        <f t="shared" ref="G67:H70" si="728">AAG67</f>
        <v>41414</v>
      </c>
      <c r="H67" s="369">
        <v>41425</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41414</v>
      </c>
      <c r="AAH67" s="78">
        <f>G67</f>
        <v>41414</v>
      </c>
      <c r="AAI67" s="77"/>
      <c r="AAJ67" s="80"/>
      <c r="AAK67" s="80"/>
      <c r="AAL67" s="63"/>
      <c r="AAM67" s="112"/>
      <c r="AAU67" s="44"/>
      <c r="AAV67"/>
      <c r="AAW67"/>
      <c r="AAX67"/>
      <c r="AAY67"/>
      <c r="AAZ67"/>
      <c r="ABA67"/>
      <c r="ABB67"/>
      <c r="ABC67"/>
      <c r="ABD67"/>
    </row>
    <row r="68" spans="1:732" ht="15.75" customHeight="1" outlineLevel="1">
      <c r="A68" s="558"/>
      <c r="B68" s="132" t="s">
        <v>370</v>
      </c>
      <c r="C68" s="347"/>
      <c r="D68" s="229" t="s">
        <v>158</v>
      </c>
      <c r="E68" s="368">
        <f>NETWORKDAYS(G68,H68,S.DDL_DEQClosed)</f>
        <v>1</v>
      </c>
      <c r="F68" s="368">
        <f ca="1">NETWORKDAYS(TODAY(),H68)</f>
        <v>-27</v>
      </c>
      <c r="G68" s="369">
        <f t="shared" si="728"/>
        <v>41425</v>
      </c>
      <c r="H68" s="369">
        <v>41425</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41425</v>
      </c>
      <c r="AAH68" s="78">
        <f>G68</f>
        <v>41425</v>
      </c>
      <c r="AAI68" s="77"/>
      <c r="AAJ68" s="66" t="s">
        <v>0</v>
      </c>
      <c r="AAK68" s="66"/>
      <c r="AAL68" s="65"/>
      <c r="AAM68" s="112"/>
      <c r="AAN68"/>
      <c r="AAT68" s="23"/>
      <c r="AAU68" s="44"/>
    </row>
    <row r="69" spans="1:732" ht="15.75" customHeight="1" outlineLevel="1">
      <c r="A69" s="558"/>
      <c r="B69" s="346" t="s">
        <v>198</v>
      </c>
      <c r="C69" s="347"/>
      <c r="D69" s="169" t="s">
        <v>200</v>
      </c>
      <c r="E69" s="368">
        <f>NETWORKDAYS(G69,H69,S.DDL_DEQClosed)</f>
        <v>1</v>
      </c>
      <c r="F69" s="368">
        <f ca="1">NETWORKDAYS(TODAY(),H69)</f>
        <v>-67</v>
      </c>
      <c r="G69" s="369">
        <v>41369</v>
      </c>
      <c r="H69" s="369">
        <f t="shared" si="728"/>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29">H68</f>
        <v>41425</v>
      </c>
      <c r="AAH69" s="78">
        <f>G69</f>
        <v>41369</v>
      </c>
      <c r="AAI69" s="77"/>
      <c r="AAJ69" s="56"/>
      <c r="AAK69" s="56"/>
      <c r="AAL69" s="65"/>
      <c r="AAM69" s="112"/>
      <c r="AAN69"/>
      <c r="AAT69" s="23"/>
      <c r="AAU69" s="44"/>
    </row>
    <row r="70" spans="1:732" ht="15.75" customHeight="1" outlineLevel="1">
      <c r="A70" s="558"/>
      <c r="B70" s="547" t="s">
        <v>310</v>
      </c>
      <c r="C70" s="672" t="s">
        <v>72</v>
      </c>
      <c r="D70" s="169" t="s">
        <v>169</v>
      </c>
      <c r="E70" s="368">
        <f>NETWORKDAYS(G70,H70,S.DDL_DEQClosed)</f>
        <v>38</v>
      </c>
      <c r="F70" s="368">
        <f ca="1">NETWORKDAYS(TODAY(),H70)</f>
        <v>-27</v>
      </c>
      <c r="G70" s="369">
        <f t="shared" si="728"/>
        <v>41369</v>
      </c>
      <c r="H70" s="369">
        <v>41425</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29"/>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230</v>
      </c>
      <c r="C71" s="168"/>
      <c r="D71" s="371" t="s">
        <v>78</v>
      </c>
      <c r="E71" s="368">
        <f t="shared" ref="E71" si="730">NETWORKDAYS(G71,H71,S.DDL_DEQClosed)</f>
        <v>53</v>
      </c>
      <c r="F71" s="372">
        <f t="shared" ref="F71" ca="1" si="731">NETWORKDAYS(TODAY(),H71)</f>
        <v>-6</v>
      </c>
      <c r="G71" s="537">
        <f>S.SIPStart</f>
        <v>41379</v>
      </c>
      <c r="H71" s="536">
        <f>AAH71</f>
        <v>41456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2">IF(S.InvolveSIP=TRUE,1,0)</f>
        <v>1</v>
      </c>
      <c r="AAF71" s="112"/>
      <c r="AAG71" s="78">
        <f>S.SIPStart</f>
        <v>41379</v>
      </c>
      <c r="AAH71" s="78">
        <f>S.SubmitNoticeToEPA</f>
        <v>41456</v>
      </c>
      <c r="AAI71" s="77"/>
      <c r="AAJ71" s="77"/>
      <c r="AAK71" s="77"/>
      <c r="AAL71" s="65"/>
      <c r="AAM71" s="112"/>
      <c r="AAU71" s="44"/>
      <c r="AAV71"/>
      <c r="AAW71"/>
      <c r="AAX71"/>
      <c r="AAY71"/>
      <c r="AAZ71"/>
      <c r="ABA71"/>
      <c r="ABB71"/>
      <c r="ABC71"/>
      <c r="ABD71"/>
    </row>
    <row r="72" spans="1:732" ht="15.75" hidden="1" customHeight="1" outlineLevel="2">
      <c r="A72" s="558"/>
      <c r="B72" s="362" t="s">
        <v>311</v>
      </c>
      <c r="C72" s="168"/>
      <c r="D72" s="371" t="s">
        <v>78</v>
      </c>
      <c r="E72" s="368">
        <f t="shared" ref="E72:E78" si="733">NETWORKDAYS(G72,H72,S.DDL_DEQClosed)</f>
        <v>1</v>
      </c>
      <c r="F72" s="372">
        <f t="shared" ref="F72:F78" ca="1" si="734">NETWORKDAYS(TODAY(),H72)</f>
        <v>-61</v>
      </c>
      <c r="G72" s="587">
        <f>AAG72</f>
        <v>41379</v>
      </c>
      <c r="H72" s="369">
        <f t="shared" ref="H72:H77" si="735">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2"/>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3"/>
        <v>1</v>
      </c>
      <c r="F73" s="372">
        <f t="shared" ca="1" si="734"/>
        <v>-61</v>
      </c>
      <c r="G73" s="587">
        <f>AAG73</f>
        <v>41379</v>
      </c>
      <c r="H73" s="369">
        <f t="shared" si="735"/>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2"/>
        <v>1</v>
      </c>
      <c r="AAF73" s="583"/>
      <c r="AAG73" s="78">
        <f>G72</f>
        <v>41379</v>
      </c>
      <c r="AAH73" s="78">
        <f t="shared" ref="AAH73:AAH77" si="736">G73</f>
        <v>41379</v>
      </c>
      <c r="AAI73" s="77"/>
      <c r="AAJ73" s="56"/>
      <c r="AAK73" s="56"/>
      <c r="AAL73" s="65"/>
      <c r="AAM73" s="112"/>
      <c r="AAN73"/>
      <c r="AAT73" s="23"/>
      <c r="AAU73" s="44"/>
    </row>
    <row r="74" spans="1:732" ht="15.75" hidden="1" customHeight="1" outlineLevel="2">
      <c r="A74" s="558"/>
      <c r="B74" s="364" t="s">
        <v>77</v>
      </c>
      <c r="C74" s="168"/>
      <c r="D74" s="371" t="s">
        <v>78</v>
      </c>
      <c r="E74" s="368">
        <f t="shared" si="733"/>
        <v>1</v>
      </c>
      <c r="F74" s="372">
        <f t="shared" ca="1" si="734"/>
        <v>-61</v>
      </c>
      <c r="G74" s="587">
        <f t="shared" ref="G74:G77" si="737">AAG74</f>
        <v>41379</v>
      </c>
      <c r="H74" s="369">
        <f t="shared" si="735"/>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2"/>
        <v>1</v>
      </c>
      <c r="AAF74" s="583"/>
      <c r="AAG74" s="78">
        <f>G73</f>
        <v>41379</v>
      </c>
      <c r="AAH74" s="78">
        <f t="shared" si="736"/>
        <v>41379</v>
      </c>
      <c r="AAI74" s="77"/>
      <c r="AAJ74" s="56"/>
      <c r="AAK74" s="56"/>
      <c r="AAL74" s="65"/>
      <c r="AAM74" s="112"/>
      <c r="AAN74"/>
      <c r="AAT74" s="23"/>
      <c r="AAU74" s="44"/>
    </row>
    <row r="75" spans="1:732" ht="15.75" hidden="1" customHeight="1" outlineLevel="2">
      <c r="A75" s="558"/>
      <c r="B75" s="364" t="s">
        <v>77</v>
      </c>
      <c r="C75" s="168"/>
      <c r="D75" s="371" t="s">
        <v>78</v>
      </c>
      <c r="E75" s="368">
        <f t="shared" si="733"/>
        <v>1</v>
      </c>
      <c r="F75" s="372">
        <f t="shared" ca="1" si="734"/>
        <v>-61</v>
      </c>
      <c r="G75" s="587">
        <f t="shared" si="737"/>
        <v>41379</v>
      </c>
      <c r="H75" s="369">
        <f t="shared" si="735"/>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2"/>
        <v>1</v>
      </c>
      <c r="AAF75" s="583"/>
      <c r="AAG75" s="78">
        <f t="shared" ref="AAG75:AAG77" si="738">G74</f>
        <v>41379</v>
      </c>
      <c r="AAH75" s="78">
        <f t="shared" si="736"/>
        <v>41379</v>
      </c>
      <c r="AAI75" s="77"/>
      <c r="AAJ75" s="56"/>
      <c r="AAK75" s="56"/>
      <c r="AAL75" s="65"/>
      <c r="AAM75" s="112"/>
      <c r="AAN75"/>
      <c r="AAT75" s="23"/>
      <c r="AAU75" s="44"/>
    </row>
    <row r="76" spans="1:732" ht="15.75" hidden="1" customHeight="1" outlineLevel="2">
      <c r="A76" s="558"/>
      <c r="B76" s="364" t="s">
        <v>77</v>
      </c>
      <c r="C76" s="168"/>
      <c r="D76" s="371" t="s">
        <v>78</v>
      </c>
      <c r="E76" s="368">
        <f t="shared" si="733"/>
        <v>1</v>
      </c>
      <c r="F76" s="372">
        <f t="shared" ca="1" si="734"/>
        <v>-61</v>
      </c>
      <c r="G76" s="587">
        <f t="shared" si="737"/>
        <v>41379</v>
      </c>
      <c r="H76" s="369">
        <f t="shared" si="735"/>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2"/>
        <v>1</v>
      </c>
      <c r="AAF76" s="583"/>
      <c r="AAG76" s="78">
        <f t="shared" si="738"/>
        <v>41379</v>
      </c>
      <c r="AAH76" s="78">
        <f t="shared" si="736"/>
        <v>41379</v>
      </c>
      <c r="AAI76" s="77"/>
      <c r="AAJ76" s="56"/>
      <c r="AAK76" s="56"/>
      <c r="AAL76" s="65"/>
      <c r="AAM76" s="112"/>
      <c r="AAN76"/>
      <c r="AAT76" s="23"/>
      <c r="AAU76" s="44"/>
    </row>
    <row r="77" spans="1:732" ht="15.75" hidden="1" customHeight="1" outlineLevel="2">
      <c r="A77" s="558"/>
      <c r="B77" s="362" t="s">
        <v>15</v>
      </c>
      <c r="C77" s="168"/>
      <c r="D77" s="371" t="s">
        <v>78</v>
      </c>
      <c r="E77" s="368">
        <f t="shared" si="733"/>
        <v>1</v>
      </c>
      <c r="F77" s="372">
        <f t="shared" ca="1" si="734"/>
        <v>-61</v>
      </c>
      <c r="G77" s="587">
        <f t="shared" si="737"/>
        <v>41379</v>
      </c>
      <c r="H77" s="369">
        <f t="shared" si="735"/>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2"/>
        <v>1</v>
      </c>
      <c r="AAF77" s="583"/>
      <c r="AAG77" s="78">
        <f t="shared" si="738"/>
        <v>41379</v>
      </c>
      <c r="AAH77" s="78">
        <f t="shared" si="736"/>
        <v>41379</v>
      </c>
      <c r="AAI77" s="77"/>
      <c r="AAJ77" s="56"/>
      <c r="AAK77" s="56"/>
      <c r="AAL77" s="65"/>
      <c r="AAM77" s="112"/>
      <c r="AAN77"/>
      <c r="AAT77" s="23"/>
      <c r="AAU77" s="44"/>
    </row>
    <row r="78" spans="1:732" ht="15.75" customHeight="1" outlineLevel="1" collapsed="1">
      <c r="A78" s="558"/>
      <c r="B78" s="362" t="s">
        <v>278</v>
      </c>
      <c r="C78" s="168"/>
      <c r="D78" s="371" t="s">
        <v>78</v>
      </c>
      <c r="E78" s="368">
        <f t="shared" si="733"/>
        <v>1</v>
      </c>
      <c r="F78" s="372">
        <f t="shared" ca="1" si="734"/>
        <v>-6</v>
      </c>
      <c r="G78" s="536">
        <f>AAG78</f>
        <v>41456</v>
      </c>
      <c r="H78" s="537">
        <f>AAH78</f>
        <v>41456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2"/>
        <v>1</v>
      </c>
      <c r="AAF78" s="583"/>
      <c r="AAG78" s="78">
        <f>S.SubmitNoticeToEPA</f>
        <v>41456</v>
      </c>
      <c r="AAH78" s="78">
        <f>S.SubmitNoticeToEPA</f>
        <v>41456</v>
      </c>
      <c r="AAI78" s="77"/>
      <c r="AAJ78" s="56"/>
      <c r="AAK78" s="56"/>
      <c r="AAL78" s="65"/>
      <c r="AAM78" s="112"/>
      <c r="AAN78"/>
      <c r="AAT78" s="23"/>
      <c r="AAU78" s="44"/>
    </row>
    <row r="79" spans="1:732" ht="6" customHeight="1">
      <c r="A79" s="558"/>
      <c r="B79" s="365"/>
      <c r="C79" s="702"/>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185</v>
      </c>
      <c r="AAG79" s="76"/>
      <c r="AAH79" s="76"/>
      <c r="AAI79" s="77"/>
      <c r="AAJ79" s="56"/>
      <c r="AAK79" s="56"/>
      <c r="AAL79" s="65"/>
      <c r="AAM79" s="112"/>
      <c r="AAN79"/>
      <c r="AAT79" s="23"/>
      <c r="AAU79" s="44"/>
    </row>
    <row r="80" spans="1:732" s="23" customFormat="1" ht="18" customHeight="1">
      <c r="A80" s="558"/>
      <c r="B80" s="742" t="str">
        <f>AAL19</f>
        <v>2-Advisory Committee NOT involved</v>
      </c>
      <c r="C80" s="742"/>
      <c r="D80" s="742"/>
      <c r="E80" s="742"/>
      <c r="F80" s="742"/>
      <c r="G80" s="742"/>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185</v>
      </c>
      <c r="AAG80" s="112"/>
      <c r="AAH80" s="112"/>
      <c r="AAI80" s="77"/>
      <c r="AAJ80" s="90"/>
      <c r="AAK80" s="90"/>
      <c r="AAL80" s="65"/>
      <c r="AAM80" s="112"/>
      <c r="AAU80" s="44"/>
    </row>
    <row r="81" spans="1:732" s="23" customFormat="1" ht="18" customHeight="1">
      <c r="A81" s="558"/>
      <c r="B81" s="234" t="s">
        <v>15</v>
      </c>
      <c r="C81" s="703"/>
      <c r="D81" s="150" t="s">
        <v>254</v>
      </c>
      <c r="E81" s="151" t="s">
        <v>15</v>
      </c>
      <c r="F81" s="235" t="s">
        <v>2</v>
      </c>
      <c r="G81" s="152" t="s">
        <v>261</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258</v>
      </c>
      <c r="AAF81" s="583" t="s">
        <v>185</v>
      </c>
      <c r="AAG81" s="112"/>
      <c r="AAH81" s="112"/>
      <c r="AAI81" s="77"/>
      <c r="AAJ81" s="90"/>
      <c r="AAK81" s="90"/>
      <c r="AAL81" s="65"/>
      <c r="AAM81" s="112"/>
      <c r="AAU81" s="44"/>
    </row>
    <row r="82" spans="1:732" ht="18" customHeight="1">
      <c r="A82" s="558"/>
      <c r="B82" s="23" t="s">
        <v>0</v>
      </c>
      <c r="C82" s="704"/>
      <c r="D82" s="236" t="s">
        <v>0</v>
      </c>
      <c r="E82" s="236"/>
      <c r="F82" s="373">
        <f>NETWORKDAYS(G82,S.BANNER.AdvisoryCommitteeEnd,S.DDL_DEQClosed)</f>
        <v>1</v>
      </c>
      <c r="G82" s="237">
        <f>S.BANNER.AdvisoryCommitteeStart</f>
        <v>41369</v>
      </c>
      <c r="H82" s="237">
        <f>S.BANNER.AdvisoryCommitteeEnd</f>
        <v>41369</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258</v>
      </c>
      <c r="AAF82" s="583" t="s">
        <v>185</v>
      </c>
      <c r="AAG82" s="78">
        <f>S.BANNER.AdvisoryCommitteeStart</f>
        <v>41369</v>
      </c>
      <c r="AAH82" s="78">
        <f>S.BANNER.AdvisoryCommitteeEnd</f>
        <v>41369</v>
      </c>
      <c r="AAI82" s="63"/>
      <c r="AAJ82" s="79"/>
      <c r="AAK82" s="79"/>
      <c r="AAL82" s="65"/>
      <c r="AAM82" s="112"/>
      <c r="AAN82"/>
      <c r="AAT82" s="23"/>
      <c r="AAU82" s="44"/>
    </row>
    <row r="83" spans="1:732" ht="6" customHeight="1">
      <c r="A83" s="558"/>
      <c r="B83" s="206"/>
      <c r="C83" s="688"/>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185</v>
      </c>
      <c r="AAG83" s="63"/>
      <c r="AAH83" s="63"/>
      <c r="AAI83" s="63"/>
      <c r="AAJ83" s="56"/>
      <c r="AAK83" s="56"/>
      <c r="AAL83" s="65"/>
      <c r="AAM83" s="112"/>
      <c r="AAN83"/>
      <c r="AAT83" s="23"/>
      <c r="AAU83" s="44"/>
    </row>
    <row r="84" spans="1:732" s="23" customFormat="1" ht="15.75" hidden="1" customHeight="1" outlineLevel="1">
      <c r="A84" s="558"/>
      <c r="B84" s="375" t="s">
        <v>364</v>
      </c>
      <c r="C84" s="231" t="s">
        <v>72</v>
      </c>
      <c r="D84" s="386"/>
      <c r="E84" s="681"/>
      <c r="F84" s="682"/>
      <c r="G84" s="681"/>
      <c r="H84" s="681"/>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39">IF(S.InvolveCommittee=TRUE,1,0)</f>
        <v>0</v>
      </c>
      <c r="AAF84" s="583" t="s">
        <v>185</v>
      </c>
      <c r="AAG84" s="39"/>
      <c r="AAH84" s="39" t="s">
        <v>0</v>
      </c>
      <c r="AAI84" s="77"/>
      <c r="AAJ84" s="77"/>
      <c r="AAK84" s="77"/>
      <c r="AAL84" s="65"/>
      <c r="AAM84" s="112"/>
      <c r="AAU84" s="44"/>
    </row>
    <row r="85" spans="1:732" ht="15.75" hidden="1" customHeight="1" outlineLevel="1">
      <c r="A85" s="558"/>
      <c r="B85" s="375" t="s">
        <v>330</v>
      </c>
      <c r="C85" s="672" t="s">
        <v>72</v>
      </c>
      <c r="D85" s="308" t="s">
        <v>374</v>
      </c>
      <c r="E85" s="653">
        <f t="shared" ref="E85:E97" si="740">NETWORKDAYS(G85,H85,S.DDL_DEQClosed)</f>
        <v>1</v>
      </c>
      <c r="F85" s="654">
        <f t="shared" ref="F85:F97" ca="1" si="741">NETWORKDAYS(TODAY(),H85)</f>
        <v>-67</v>
      </c>
      <c r="G85" s="655">
        <f t="shared" ref="G85:H126" si="742">AAG85</f>
        <v>41369</v>
      </c>
      <c r="H85" s="526">
        <f t="shared" si="742"/>
        <v>41369</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39"/>
        <v>0</v>
      </c>
      <c r="AAF85" s="112" t="s">
        <v>0</v>
      </c>
      <c r="AAG85" s="78">
        <f>AAG82</f>
        <v>41369</v>
      </c>
      <c r="AAH85" s="78">
        <f>G85</f>
        <v>41369</v>
      </c>
      <c r="AAI85" s="77"/>
      <c r="AAJ85" s="77"/>
      <c r="AAK85" s="77"/>
      <c r="AAL85" s="65"/>
      <c r="AAM85" s="112"/>
      <c r="AAN85"/>
      <c r="AAT85" s="23"/>
      <c r="AAU85" s="44"/>
    </row>
    <row r="86" spans="1:732" s="23" customFormat="1" ht="15.75" hidden="1" customHeight="1" outlineLevel="1">
      <c r="A86" s="558"/>
      <c r="B86" s="387" t="s">
        <v>373</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hidden="1" customHeight="1" outlineLevel="1">
      <c r="A87" s="558"/>
      <c r="B87" s="348" t="s">
        <v>386</v>
      </c>
      <c r="C87" s="674" t="s">
        <v>127</v>
      </c>
      <c r="D87" s="385" t="s">
        <v>374</v>
      </c>
      <c r="E87" s="368"/>
      <c r="F87" s="492">
        <f ca="1">NETWORKDAYS(TODAY(),H87)</f>
        <v>-67</v>
      </c>
      <c r="G87" s="383">
        <f>AAG87</f>
        <v>41369</v>
      </c>
      <c r="H87" s="369">
        <f>AAH87</f>
        <v>41369</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39"/>
        <v>0</v>
      </c>
      <c r="AAF87" s="112" t="s">
        <v>0</v>
      </c>
      <c r="AAG87" s="78">
        <f>H103</f>
        <v>41369</v>
      </c>
      <c r="AAH87" s="78">
        <f>G87</f>
        <v>41369</v>
      </c>
      <c r="AAI87" s="63"/>
      <c r="AAJ87" s="56"/>
      <c r="AAK87" s="56"/>
      <c r="AAL87" s="39"/>
      <c r="AAM87" s="112"/>
      <c r="AAN87"/>
      <c r="AAT87" s="23"/>
      <c r="AAU87" s="44"/>
    </row>
    <row r="88" spans="1:732" ht="15.75" hidden="1" customHeight="1" outlineLevel="1">
      <c r="A88" s="558"/>
      <c r="B88" s="348" t="s">
        <v>387</v>
      </c>
      <c r="C88" s="706" t="s">
        <v>187</v>
      </c>
      <c r="D88" s="385" t="s">
        <v>374</v>
      </c>
      <c r="E88" s="368">
        <f t="shared" ref="E88" si="743">NETWORKDAYS(G88,H88,S.DDL_DEQClosed)</f>
        <v>1</v>
      </c>
      <c r="F88" s="492">
        <f ca="1">NETWORKDAYS(TODAY(),H88)</f>
        <v>-67</v>
      </c>
      <c r="G88" s="383">
        <f t="shared" ref="G88:H88" si="744">AAG88</f>
        <v>41369</v>
      </c>
      <c r="H88" s="369">
        <f t="shared" si="744"/>
        <v>41369</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39"/>
        <v>0</v>
      </c>
      <c r="AAF88" s="112" t="s">
        <v>0</v>
      </c>
      <c r="AAG88" s="78">
        <f>H87</f>
        <v>41369</v>
      </c>
      <c r="AAH88" s="78">
        <f>G88</f>
        <v>41369</v>
      </c>
      <c r="AAI88" s="63"/>
      <c r="AAJ88" s="56"/>
      <c r="AAK88" s="56"/>
      <c r="AAL88" s="39"/>
      <c r="AAM88" s="112"/>
      <c r="AAN88"/>
      <c r="AAT88" s="23"/>
      <c r="AAU88" s="44"/>
    </row>
    <row r="89" spans="1:732" s="23" customFormat="1" ht="15" hidden="1" customHeight="1" outlineLevel="1">
      <c r="A89" s="558"/>
      <c r="B89" s="731" t="s">
        <v>372</v>
      </c>
      <c r="C89" s="706" t="s">
        <v>187</v>
      </c>
      <c r="D89" s="308" t="s">
        <v>374</v>
      </c>
      <c r="E89" s="368">
        <f t="shared" ref="E89" si="745">NETWORKDAYS(G89,H89,S.DDL_DEQClosed)</f>
        <v>1</v>
      </c>
      <c r="F89" s="492">
        <f t="shared" ref="F89" ca="1" si="746">NETWORKDAYS(TODAY(),H89)</f>
        <v>-67</v>
      </c>
      <c r="G89" s="383">
        <f t="shared" ref="G89" si="747">AAG89</f>
        <v>41369</v>
      </c>
      <c r="H89" s="369">
        <f t="shared" ref="H89" si="748">AAH89</f>
        <v>41369</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39"/>
        <v>0</v>
      </c>
      <c r="AAF89" s="112" t="s">
        <v>0</v>
      </c>
      <c r="AAG89" s="78">
        <f>H104</f>
        <v>41369</v>
      </c>
      <c r="AAH89" s="78">
        <f>G89</f>
        <v>41369</v>
      </c>
      <c r="AAI89" s="63"/>
      <c r="AAJ89" s="56"/>
      <c r="AAK89" s="56"/>
      <c r="AAL89" s="39"/>
      <c r="AAM89" s="112"/>
      <c r="AAU89" s="44"/>
      <c r="AAV89"/>
      <c r="AAW89"/>
      <c r="AAX89"/>
      <c r="AAY89"/>
      <c r="AAZ89"/>
      <c r="ABA89"/>
      <c r="ABB89"/>
      <c r="ABC89"/>
      <c r="ABD89"/>
    </row>
    <row r="90" spans="1:732" ht="15.75" hidden="1" customHeight="1" outlineLevel="1">
      <c r="A90" s="558"/>
      <c r="B90" s="374" t="s">
        <v>365</v>
      </c>
      <c r="C90"/>
      <c r="D90" s="308" t="s">
        <v>374</v>
      </c>
      <c r="E90" s="368">
        <f t="shared" si="740"/>
        <v>1</v>
      </c>
      <c r="F90" s="492">
        <f t="shared" ca="1" si="741"/>
        <v>-67</v>
      </c>
      <c r="G90" s="383">
        <f t="shared" si="742"/>
        <v>41369</v>
      </c>
      <c r="H90" s="369">
        <f t="shared" si="742"/>
        <v>41369</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39"/>
        <v>0</v>
      </c>
      <c r="AAF90" s="112" t="s">
        <v>0</v>
      </c>
      <c r="AAG90" s="78">
        <f>H85</f>
        <v>41369</v>
      </c>
      <c r="AAH90" s="78">
        <f t="shared" ref="AAH90:AAH97" si="749">G90</f>
        <v>41369</v>
      </c>
      <c r="AAI90" s="77"/>
      <c r="AAJ90" s="77"/>
      <c r="AAK90" s="77"/>
      <c r="AAL90" s="65"/>
      <c r="AAM90" s="112"/>
      <c r="AAN90"/>
      <c r="AAT90" s="23"/>
      <c r="AAU90" s="44"/>
    </row>
    <row r="91" spans="1:732" ht="15.75" hidden="1" customHeight="1" outlineLevel="1">
      <c r="A91" s="558"/>
      <c r="B91" s="375" t="s">
        <v>69</v>
      </c>
      <c r="C91" s="168"/>
      <c r="D91" s="308" t="s">
        <v>166</v>
      </c>
      <c r="E91" s="368">
        <f t="shared" si="740"/>
        <v>1</v>
      </c>
      <c r="F91" s="492">
        <f t="shared" ca="1" si="741"/>
        <v>-67</v>
      </c>
      <c r="G91" s="383">
        <f t="shared" si="742"/>
        <v>41369</v>
      </c>
      <c r="H91" s="369">
        <f t="shared" si="742"/>
        <v>41369</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39"/>
        <v>0</v>
      </c>
      <c r="AAF91" s="112" t="s">
        <v>0</v>
      </c>
      <c r="AAG91" s="78">
        <f t="shared" ref="AAG91:AAG97" si="750">H90</f>
        <v>41369</v>
      </c>
      <c r="AAH91" s="78">
        <f t="shared" si="749"/>
        <v>41369</v>
      </c>
      <c r="AAI91" s="77"/>
      <c r="AAJ91" s="77"/>
      <c r="AAK91" s="77"/>
      <c r="AAL91" s="65"/>
      <c r="AAM91" s="112"/>
      <c r="AAN91"/>
      <c r="AAT91" s="23"/>
      <c r="AAU91" s="44"/>
    </row>
    <row r="92" spans="1:732" ht="15.75" hidden="1" customHeight="1" outlineLevel="1">
      <c r="A92" s="558"/>
      <c r="B92" s="680" t="s">
        <v>366</v>
      </c>
      <c r="C92" s="239"/>
      <c r="D92" s="308" t="s">
        <v>374</v>
      </c>
      <c r="E92" s="368">
        <f>NETWORKDAYS(G92,H92,S.DDL_DEQClosed)</f>
        <v>1</v>
      </c>
      <c r="F92" s="492">
        <f ca="1">NETWORKDAYS(TODAY(),H92)</f>
        <v>-67</v>
      </c>
      <c r="G92" s="383">
        <f>AAG92</f>
        <v>41369</v>
      </c>
      <c r="H92" s="369">
        <f>AAH92</f>
        <v>41369</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39"/>
        <v>0</v>
      </c>
      <c r="AAF92" s="112" t="s">
        <v>0</v>
      </c>
      <c r="AAG92" s="78">
        <f>H91</f>
        <v>41369</v>
      </c>
      <c r="AAH92" s="78">
        <f>G92</f>
        <v>41369</v>
      </c>
      <c r="AAI92" s="77"/>
      <c r="AAJ92" s="77"/>
      <c r="AAK92" s="77"/>
      <c r="AAL92" s="65"/>
      <c r="AAM92" s="112"/>
      <c r="AAN92"/>
      <c r="AAT92" s="23"/>
      <c r="AAU92" s="44"/>
    </row>
    <row r="93" spans="1:732" ht="15.75" hidden="1"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39"/>
        <v>0</v>
      </c>
      <c r="AAF93" s="583" t="s">
        <v>185</v>
      </c>
      <c r="AAG93" s="39"/>
      <c r="AAH93" s="39" t="s">
        <v>0</v>
      </c>
      <c r="AAI93" s="77"/>
      <c r="AAJ93" s="77"/>
      <c r="AAK93" s="77"/>
      <c r="AAL93" s="65"/>
      <c r="AAM93" s="112"/>
      <c r="AAN93"/>
      <c r="AAT93" s="23"/>
      <c r="AAU93" s="44"/>
    </row>
    <row r="94" spans="1:732" ht="15.75" hidden="1" customHeight="1" outlineLevel="1">
      <c r="A94" s="558"/>
      <c r="B94" s="377" t="s">
        <v>367</v>
      </c>
      <c r="C94" s="672" t="s">
        <v>72</v>
      </c>
      <c r="D94" s="308" t="s">
        <v>158</v>
      </c>
      <c r="E94" s="368">
        <f t="shared" si="740"/>
        <v>1</v>
      </c>
      <c r="F94" s="492">
        <f t="shared" ca="1" si="741"/>
        <v>-67</v>
      </c>
      <c r="G94" s="383">
        <f t="shared" si="742"/>
        <v>41369</v>
      </c>
      <c r="H94" s="369">
        <f t="shared" si="742"/>
        <v>41369</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39"/>
        <v>0</v>
      </c>
      <c r="AAF94" s="112" t="s">
        <v>0</v>
      </c>
      <c r="AAG94" s="78">
        <f>H92</f>
        <v>41369</v>
      </c>
      <c r="AAH94" s="78">
        <f>G94</f>
        <v>41369</v>
      </c>
      <c r="AAI94" s="77"/>
      <c r="AAJ94" s="77"/>
      <c r="AAK94" s="77"/>
      <c r="AAL94" s="65"/>
      <c r="AAM94" s="112"/>
      <c r="AAN94"/>
      <c r="AAT94" s="23"/>
      <c r="AAU94" s="44"/>
    </row>
    <row r="95" spans="1:732" ht="15.75" hidden="1" customHeight="1" outlineLevel="1">
      <c r="A95" s="558"/>
      <c r="B95" s="377" t="s">
        <v>368</v>
      </c>
      <c r="C95" s="239"/>
      <c r="D95" s="308" t="s">
        <v>381</v>
      </c>
      <c r="E95" s="368">
        <f t="shared" si="740"/>
        <v>1</v>
      </c>
      <c r="F95" s="492">
        <f t="shared" ca="1" si="741"/>
        <v>-67</v>
      </c>
      <c r="G95" s="383">
        <f t="shared" si="742"/>
        <v>41369</v>
      </c>
      <c r="H95" s="369">
        <f t="shared" si="742"/>
        <v>41369</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39"/>
        <v>0</v>
      </c>
      <c r="AAF95" s="112" t="s">
        <v>0</v>
      </c>
      <c r="AAG95" s="78">
        <f t="shared" si="750"/>
        <v>41369</v>
      </c>
      <c r="AAH95" s="78">
        <f t="shared" si="749"/>
        <v>41369</v>
      </c>
      <c r="AAI95" s="77"/>
      <c r="AAJ95" s="77"/>
      <c r="AAK95" s="77"/>
      <c r="AAL95" s="65"/>
      <c r="AAM95" s="112"/>
      <c r="AAN95"/>
      <c r="AAT95" s="23"/>
      <c r="AAU95" s="44"/>
    </row>
    <row r="96" spans="1:732" ht="15.75" hidden="1" customHeight="1" outlineLevel="1">
      <c r="A96" s="558"/>
      <c r="B96" s="377" t="s">
        <v>369</v>
      </c>
      <c r="C96" s="239"/>
      <c r="D96" s="308" t="s">
        <v>158</v>
      </c>
      <c r="E96" s="368">
        <f t="shared" si="740"/>
        <v>1</v>
      </c>
      <c r="F96" s="492">
        <f t="shared" ca="1" si="741"/>
        <v>-67</v>
      </c>
      <c r="G96" s="383">
        <f t="shared" si="742"/>
        <v>41369</v>
      </c>
      <c r="H96" s="369">
        <f t="shared" si="742"/>
        <v>41369</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39"/>
        <v>0</v>
      </c>
      <c r="AAF96" s="112" t="s">
        <v>0</v>
      </c>
      <c r="AAG96" s="78">
        <f t="shared" si="750"/>
        <v>41369</v>
      </c>
      <c r="AAH96" s="78">
        <f t="shared" si="749"/>
        <v>41369</v>
      </c>
      <c r="AAI96" s="77"/>
      <c r="AAJ96" s="77"/>
      <c r="AAK96" s="77"/>
      <c r="AAL96" s="65"/>
      <c r="AAM96" s="112"/>
      <c r="AAN96"/>
      <c r="AAT96" s="23"/>
      <c r="AAU96" s="44"/>
    </row>
    <row r="97" spans="1:732" ht="15.75" hidden="1" customHeight="1" outlineLevel="1">
      <c r="A97" s="558"/>
      <c r="B97" s="378" t="s">
        <v>211</v>
      </c>
      <c r="C97" s="239"/>
      <c r="D97" s="308" t="s">
        <v>374</v>
      </c>
      <c r="E97" s="368">
        <f t="shared" si="740"/>
        <v>1</v>
      </c>
      <c r="F97" s="492">
        <f t="shared" ca="1" si="741"/>
        <v>-67</v>
      </c>
      <c r="G97" s="383">
        <f t="shared" si="742"/>
        <v>41369</v>
      </c>
      <c r="H97" s="369">
        <f t="shared" si="742"/>
        <v>41369</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39"/>
        <v>0</v>
      </c>
      <c r="AAF97" s="112" t="s">
        <v>0</v>
      </c>
      <c r="AAG97" s="78">
        <f t="shared" si="750"/>
        <v>41369</v>
      </c>
      <c r="AAH97" s="78">
        <f t="shared" si="749"/>
        <v>41369</v>
      </c>
      <c r="AAI97" s="77"/>
      <c r="AAJ97" s="77"/>
      <c r="AAK97" s="77"/>
      <c r="AAL97" s="65"/>
      <c r="AAM97" s="112"/>
      <c r="AAN97"/>
      <c r="AAT97" s="23"/>
      <c r="AAU97" s="44"/>
    </row>
    <row r="98" spans="1:732" ht="81.75" hidden="1" customHeight="1" outlineLevel="1">
      <c r="A98" s="558"/>
      <c r="B98" s="741" t="s">
        <v>358</v>
      </c>
      <c r="C98" s="741"/>
      <c r="D98" s="741"/>
      <c r="E98" s="741"/>
      <c r="F98" s="741"/>
      <c r="G98" s="741"/>
      <c r="H98" s="741"/>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39"/>
        <v>0</v>
      </c>
      <c r="AAF98" s="583" t="s">
        <v>185</v>
      </c>
      <c r="AAG98" s="76"/>
      <c r="AAH98" s="76"/>
      <c r="AAI98" s="76"/>
      <c r="AAJ98" s="57"/>
      <c r="AAK98" s="57"/>
      <c r="AAL98" s="40"/>
      <c r="AAM98" s="112"/>
      <c r="AAN98"/>
      <c r="AAT98" s="23"/>
      <c r="AAU98" s="44"/>
    </row>
    <row r="99" spans="1:732" ht="15.75" hidden="1" customHeight="1" outlineLevel="1">
      <c r="A99" s="558"/>
      <c r="B99" s="240" t="s">
        <v>23</v>
      </c>
      <c r="C99" s="705"/>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39"/>
        <v>0</v>
      </c>
      <c r="AAF99" s="583" t="s">
        <v>185</v>
      </c>
      <c r="AAG99" s="63"/>
      <c r="AAH99" s="63"/>
      <c r="AAI99" s="63"/>
      <c r="AAJ99" s="56"/>
      <c r="AAK99" s="56"/>
      <c r="AAL99" s="39"/>
      <c r="AAM99" s="112"/>
      <c r="AAN99"/>
      <c r="AAT99" s="23"/>
      <c r="AAU99" s="44"/>
    </row>
    <row r="100" spans="1:732" ht="15.75" hidden="1" customHeight="1" outlineLevel="1">
      <c r="A100" s="558"/>
      <c r="B100" s="387" t="s">
        <v>352</v>
      </c>
      <c r="C100" s="168"/>
      <c r="D100" s="308" t="s">
        <v>94</v>
      </c>
      <c r="E100" s="368">
        <f t="shared" ref="E100:E108" si="751">NETWORKDAYS(G100,H100,S.DDL_DEQClosed)</f>
        <v>1</v>
      </c>
      <c r="F100" s="492">
        <f t="shared" ref="F100:F108" ca="1" si="752">NETWORKDAYS(TODAY(),H100)</f>
        <v>-67</v>
      </c>
      <c r="G100" s="383">
        <f t="shared" si="742"/>
        <v>41369</v>
      </c>
      <c r="H100" s="369">
        <f t="shared" si="742"/>
        <v>41369</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39"/>
        <v>0</v>
      </c>
      <c r="AAF100" s="112" t="s">
        <v>0</v>
      </c>
      <c r="AAG100" s="78">
        <f>H97</f>
        <v>41369</v>
      </c>
      <c r="AAH100" s="78">
        <f>G100</f>
        <v>41369</v>
      </c>
      <c r="AAI100" s="63"/>
      <c r="AAJ100" s="56"/>
      <c r="AAK100" s="56"/>
      <c r="AAL100" s="39"/>
      <c r="AAM100" s="112"/>
      <c r="AAN100"/>
      <c r="AAT100" s="23"/>
      <c r="AAU100" s="44"/>
      <c r="AAV100" s="23"/>
      <c r="AAW100" s="23"/>
      <c r="AAX100" s="23"/>
      <c r="AAY100" s="23"/>
      <c r="AAZ100" s="23"/>
      <c r="ABA100" s="23"/>
      <c r="ABB100" s="23"/>
      <c r="ABC100" s="23"/>
      <c r="ABD100" s="23"/>
    </row>
    <row r="101" spans="1:732" ht="15.75" hidden="1" customHeight="1" outlineLevel="1">
      <c r="A101" s="558"/>
      <c r="B101" s="387" t="s">
        <v>331</v>
      </c>
      <c r="C101" s="168"/>
      <c r="D101" s="384" t="s">
        <v>95</v>
      </c>
      <c r="E101" s="368">
        <f t="shared" si="751"/>
        <v>1</v>
      </c>
      <c r="F101" s="492">
        <f t="shared" ca="1" si="752"/>
        <v>-67</v>
      </c>
      <c r="G101" s="383">
        <f t="shared" si="742"/>
        <v>41369</v>
      </c>
      <c r="H101" s="369">
        <f t="shared" si="742"/>
        <v>41369</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39"/>
        <v>0</v>
      </c>
      <c r="AAF101" s="112" t="s">
        <v>0</v>
      </c>
      <c r="AAG101" s="78">
        <f>H100</f>
        <v>41369</v>
      </c>
      <c r="AAH101" s="78">
        <f>G101</f>
        <v>41369</v>
      </c>
      <c r="AAI101" s="63"/>
      <c r="AAJ101" s="56"/>
      <c r="AAK101" s="56"/>
      <c r="AAL101" s="39"/>
      <c r="AAM101" s="112"/>
      <c r="AAN101"/>
      <c r="AAT101" s="23"/>
      <c r="AAU101" s="44"/>
    </row>
    <row r="102" spans="1:732" s="23" customFormat="1" ht="15.75" hidden="1" customHeight="1" outlineLevel="1">
      <c r="A102" s="558"/>
      <c r="B102" s="387" t="s">
        <v>206</v>
      </c>
      <c r="C102" s="672" t="s">
        <v>72</v>
      </c>
      <c r="D102" s="308" t="s">
        <v>166</v>
      </c>
      <c r="E102" s="368"/>
      <c r="F102" s="492">
        <f t="shared" ref="F102" ca="1" si="753">NETWORKDAYS(TODAY(),H102)</f>
        <v>-67</v>
      </c>
      <c r="G102" s="383">
        <f>AAG102</f>
        <v>41369</v>
      </c>
      <c r="H102" s="369">
        <f>AAH102</f>
        <v>41369</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39"/>
        <v>0</v>
      </c>
      <c r="AAF102" s="112" t="s">
        <v>0</v>
      </c>
      <c r="AAG102" s="78">
        <f>H101</f>
        <v>41369</v>
      </c>
      <c r="AAH102" s="78">
        <f t="shared" ref="AAH102:AAH106" si="754">G102</f>
        <v>41369</v>
      </c>
      <c r="AAI102" s="63"/>
      <c r="AAJ102" s="56"/>
      <c r="AAK102" s="56"/>
      <c r="AAL102" s="39"/>
      <c r="AAM102" s="112"/>
      <c r="AAU102" s="44"/>
      <c r="AAV102"/>
      <c r="AAW102"/>
      <c r="AAX102"/>
      <c r="AAY102"/>
      <c r="AAZ102"/>
      <c r="ABA102"/>
      <c r="ABB102"/>
      <c r="ABC102"/>
      <c r="ABD102"/>
    </row>
    <row r="103" spans="1:732" ht="15.75" hidden="1" customHeight="1" outlineLevel="1">
      <c r="A103" s="558"/>
      <c r="B103" s="387" t="s">
        <v>212</v>
      </c>
      <c r="C103" s="168"/>
      <c r="D103" s="384" t="s">
        <v>95</v>
      </c>
      <c r="E103" s="368">
        <f t="shared" si="751"/>
        <v>1</v>
      </c>
      <c r="F103" s="492">
        <f t="shared" ca="1" si="752"/>
        <v>-67</v>
      </c>
      <c r="G103" s="383">
        <f t="shared" si="742"/>
        <v>41369</v>
      </c>
      <c r="H103" s="369">
        <f t="shared" si="742"/>
        <v>41369</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39"/>
        <v>0</v>
      </c>
      <c r="AAF103" s="112" t="s">
        <v>0</v>
      </c>
      <c r="AAG103" s="78">
        <f>H102</f>
        <v>41369</v>
      </c>
      <c r="AAH103" s="78">
        <f t="shared" si="754"/>
        <v>41369</v>
      </c>
      <c r="AAI103" s="63"/>
      <c r="AAJ103" s="56"/>
      <c r="AAK103" s="56"/>
      <c r="AAL103" s="65" t="s">
        <v>0</v>
      </c>
      <c r="AAM103" s="112"/>
      <c r="AAN103"/>
      <c r="AAT103" s="23"/>
      <c r="AAU103" s="44"/>
    </row>
    <row r="104" spans="1:732" ht="15" hidden="1" customHeight="1" outlineLevel="1">
      <c r="A104" s="558"/>
      <c r="B104" s="375" t="s">
        <v>130</v>
      </c>
      <c r="C104" s="675" t="s">
        <v>93</v>
      </c>
      <c r="D104" s="308" t="s">
        <v>374</v>
      </c>
      <c r="E104" s="368">
        <f>NETWORKDAYS(G104,H104,S.DDL_DEQClosed)</f>
        <v>1</v>
      </c>
      <c r="F104" s="492">
        <f ca="1">NETWORKDAYS(TODAY(),H104)</f>
        <v>-67</v>
      </c>
      <c r="G104" s="383">
        <f>AAG104</f>
        <v>41369</v>
      </c>
      <c r="H104" s="369">
        <f>AAH104</f>
        <v>41369</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39"/>
        <v>0</v>
      </c>
      <c r="AAF104" s="112" t="s">
        <v>0</v>
      </c>
      <c r="AAG104" s="78">
        <f>H106</f>
        <v>41369</v>
      </c>
      <c r="AAH104" s="78">
        <f>G104</f>
        <v>41369</v>
      </c>
      <c r="AAI104" s="63"/>
      <c r="AAJ104" s="56"/>
      <c r="AAK104" s="56"/>
      <c r="AAL104" s="39"/>
      <c r="AAM104" s="112"/>
      <c r="AAN104"/>
      <c r="AAT104" s="23"/>
      <c r="AAU104" s="44"/>
    </row>
    <row r="105" spans="1:732" ht="15.75" hidden="1" customHeight="1" outlineLevel="1">
      <c r="A105" s="558"/>
      <c r="B105" s="375" t="s">
        <v>371</v>
      </c>
      <c r="C105" s="168"/>
      <c r="D105" s="308" t="s">
        <v>167</v>
      </c>
      <c r="E105" s="368">
        <f t="shared" si="751"/>
        <v>1</v>
      </c>
      <c r="F105" s="492">
        <f t="shared" ca="1" si="752"/>
        <v>-67</v>
      </c>
      <c r="G105" s="383">
        <f t="shared" si="742"/>
        <v>41369</v>
      </c>
      <c r="H105" s="369">
        <f t="shared" si="742"/>
        <v>41369</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39"/>
        <v>0</v>
      </c>
      <c r="AAF105" s="112" t="s">
        <v>0</v>
      </c>
      <c r="AAG105" s="78">
        <f>H88</f>
        <v>41369</v>
      </c>
      <c r="AAH105" s="78">
        <f t="shared" si="754"/>
        <v>41369</v>
      </c>
      <c r="AAI105" s="63"/>
      <c r="AAJ105" s="56"/>
      <c r="AAK105" s="56"/>
      <c r="AAL105" s="39"/>
      <c r="AAM105" s="112"/>
      <c r="AAN105"/>
      <c r="AAT105" s="23"/>
      <c r="AAU105" s="44"/>
    </row>
    <row r="106" spans="1:732" ht="15" hidden="1" customHeight="1" outlineLevel="1">
      <c r="A106" s="558"/>
      <c r="B106" s="343" t="s">
        <v>207</v>
      </c>
      <c r="C106" s="168"/>
      <c r="D106" s="308" t="s">
        <v>166</v>
      </c>
      <c r="E106" s="368">
        <f t="shared" si="751"/>
        <v>1</v>
      </c>
      <c r="F106" s="492">
        <f t="shared" ca="1" si="752"/>
        <v>-67</v>
      </c>
      <c r="G106" s="383">
        <f t="shared" si="742"/>
        <v>41369</v>
      </c>
      <c r="H106" s="369">
        <f t="shared" si="742"/>
        <v>41369</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39"/>
        <v>0</v>
      </c>
      <c r="AAF106" s="112" t="s">
        <v>0</v>
      </c>
      <c r="AAG106" s="78">
        <f t="shared" ref="AAG106" si="755">H105</f>
        <v>41369</v>
      </c>
      <c r="AAH106" s="78">
        <f t="shared" si="754"/>
        <v>41369</v>
      </c>
      <c r="AAI106" s="63"/>
      <c r="AAJ106" s="56"/>
      <c r="AAK106" s="56"/>
      <c r="AAL106" s="39"/>
      <c r="AAM106" s="112"/>
      <c r="AAN106"/>
      <c r="AAT106" s="23"/>
      <c r="AAU106" s="44"/>
      <c r="AAV106" s="23"/>
      <c r="AAW106" s="23"/>
      <c r="AAX106" s="23"/>
      <c r="AAY106" s="23"/>
      <c r="AAZ106" s="23"/>
      <c r="ABA106" s="23"/>
      <c r="ABB106" s="23"/>
      <c r="ABC106" s="23"/>
      <c r="ABD106" s="23"/>
    </row>
    <row r="107" spans="1:732" ht="18" hidden="1" customHeight="1" outlineLevel="1">
      <c r="A107" s="558"/>
      <c r="B107" s="244" t="s">
        <v>62</v>
      </c>
      <c r="C107" s="168"/>
      <c r="D107" s="770"/>
      <c r="E107" s="770"/>
      <c r="F107" s="770"/>
      <c r="G107" s="399">
        <f ca="1">TODAY()</f>
        <v>41463</v>
      </c>
      <c r="H107" s="399" t="s">
        <v>205</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39"/>
        <v>0</v>
      </c>
      <c r="AAF107" s="583" t="s">
        <v>185</v>
      </c>
      <c r="AAG107" s="39" t="s">
        <v>0</v>
      </c>
      <c r="AAH107" s="39" t="s">
        <v>0</v>
      </c>
      <c r="AAI107" s="39"/>
      <c r="AAJ107" s="56"/>
      <c r="AAK107" s="56"/>
      <c r="AAL107" s="39"/>
      <c r="AAM107" s="112"/>
      <c r="AAN107"/>
      <c r="AAT107" s="23"/>
      <c r="AAU107" s="44"/>
    </row>
    <row r="108" spans="1:732" ht="15" hidden="1" customHeight="1" outlineLevel="2">
      <c r="A108" s="558"/>
      <c r="B108" s="375" t="s">
        <v>59</v>
      </c>
      <c r="C108" s="347"/>
      <c r="D108" s="308" t="s">
        <v>374</v>
      </c>
      <c r="E108" s="368">
        <f t="shared" si="751"/>
        <v>1</v>
      </c>
      <c r="F108" s="492">
        <f t="shared" ca="1" si="752"/>
        <v>-67</v>
      </c>
      <c r="G108" s="383">
        <f t="shared" si="742"/>
        <v>41369</v>
      </c>
      <c r="H108" s="369">
        <f t="shared" si="742"/>
        <v>41369</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39"/>
        <v>0</v>
      </c>
      <c r="AAF108" s="112"/>
      <c r="AAG108" s="78">
        <f>H104</f>
        <v>41369</v>
      </c>
      <c r="AAH108" s="78">
        <f t="shared" ref="AAH108" si="756">G108</f>
        <v>41369</v>
      </c>
      <c r="AAI108" s="63"/>
      <c r="AAJ108" s="56"/>
      <c r="AAK108" s="56"/>
      <c r="AAL108" s="39"/>
      <c r="AAM108" s="112"/>
      <c r="AAN108"/>
      <c r="AAT108" s="23"/>
      <c r="AAU108" s="44"/>
    </row>
    <row r="109" spans="1:732" ht="15" hidden="1"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39"/>
        <v>0</v>
      </c>
      <c r="AAF109" s="583" t="s">
        <v>185</v>
      </c>
      <c r="AAG109" s="63"/>
      <c r="AAH109" s="76"/>
      <c r="AAI109" s="76"/>
      <c r="AAJ109" s="56"/>
      <c r="AAK109" s="56"/>
      <c r="AAL109" s="39"/>
      <c r="AAM109" s="112"/>
      <c r="AAN109"/>
      <c r="AAT109" s="23"/>
      <c r="AAU109" s="44"/>
    </row>
    <row r="110" spans="1:732" ht="15" hidden="1" customHeight="1" outlineLevel="2">
      <c r="A110" s="558"/>
      <c r="B110" s="377" t="str">
        <f ca="1">"Draft AGENDA."&amp;TEXT($G$107,"mm.dd.yy")&amp;""</f>
        <v>Draft AGENDA.07.08.13</v>
      </c>
      <c r="C110" s="231" t="s">
        <v>72</v>
      </c>
      <c r="D110" s="308" t="s">
        <v>57</v>
      </c>
      <c r="E110" s="368">
        <f t="shared" ref="E110:E121" si="757">NETWORKDAYS(G110,H110,S.DDL_DEQClosed)</f>
        <v>1</v>
      </c>
      <c r="F110" s="492">
        <f t="shared" ref="F110:F121" ca="1" si="758">NETWORKDAYS(TODAY(),H110)</f>
        <v>-67</v>
      </c>
      <c r="G110" s="383">
        <f t="shared" si="742"/>
        <v>41369</v>
      </c>
      <c r="H110" s="369">
        <f t="shared" si="742"/>
        <v>41369</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39"/>
        <v>0</v>
      </c>
      <c r="AAF110" s="112" t="s">
        <v>0</v>
      </c>
      <c r="AAG110" s="78">
        <f>H108</f>
        <v>41369</v>
      </c>
      <c r="AAH110" s="78">
        <f>G110</f>
        <v>41369</v>
      </c>
      <c r="AAI110" s="77"/>
      <c r="AAJ110" s="79"/>
      <c r="AAK110" s="79"/>
      <c r="AAL110" s="89" t="str">
        <f>"Draft "&amp;S.CodeName&amp;"AGENDA.mm.dd.yyyy.2.00"</f>
        <v>Draft AGENDA.mm.dd.yyyy.2.00</v>
      </c>
      <c r="AAM110" s="112"/>
      <c r="AAN110"/>
      <c r="AAT110" s="23"/>
      <c r="AAU110" s="44"/>
    </row>
    <row r="111" spans="1:732" ht="15" hidden="1" customHeight="1" outlineLevel="2">
      <c r="A111" s="558"/>
      <c r="B111" s="391" t="s">
        <v>210</v>
      </c>
      <c r="C111" s="390"/>
      <c r="D111" s="308" t="s">
        <v>57</v>
      </c>
      <c r="E111" s="368">
        <f t="shared" si="757"/>
        <v>1</v>
      </c>
      <c r="F111" s="492">
        <f t="shared" ca="1" si="758"/>
        <v>-67</v>
      </c>
      <c r="G111" s="383">
        <f t="shared" si="742"/>
        <v>41369</v>
      </c>
      <c r="H111" s="369">
        <f t="shared" si="742"/>
        <v>41369</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39"/>
        <v>0</v>
      </c>
      <c r="AAF111" s="112" t="s">
        <v>0</v>
      </c>
      <c r="AAG111" s="78">
        <f>H110</f>
        <v>41369</v>
      </c>
      <c r="AAH111" s="78">
        <f t="shared" ref="AAH111:AAH121" si="759">G111</f>
        <v>41369</v>
      </c>
      <c r="AAI111" s="63"/>
      <c r="AAJ111" s="56"/>
      <c r="AAK111" s="56"/>
      <c r="AAL111" s="56"/>
      <c r="AAM111" s="112"/>
      <c r="AAN111"/>
      <c r="AAT111" s="23"/>
      <c r="AAU111" s="44"/>
    </row>
    <row r="112" spans="1:732" ht="15" hidden="1" customHeight="1" outlineLevel="2">
      <c r="A112" s="558"/>
      <c r="B112" s="391" t="s">
        <v>210</v>
      </c>
      <c r="C112" s="390"/>
      <c r="D112" s="308" t="s">
        <v>57</v>
      </c>
      <c r="E112" s="368">
        <f t="shared" si="757"/>
        <v>1</v>
      </c>
      <c r="F112" s="492">
        <f t="shared" ca="1" si="758"/>
        <v>-67</v>
      </c>
      <c r="G112" s="383">
        <f t="shared" si="742"/>
        <v>41369</v>
      </c>
      <c r="H112" s="369">
        <f t="shared" si="742"/>
        <v>41369</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39"/>
        <v>0</v>
      </c>
      <c r="AAF112" s="112" t="s">
        <v>0</v>
      </c>
      <c r="AAG112" s="78">
        <f>H111</f>
        <v>41369</v>
      </c>
      <c r="AAH112" s="78">
        <f t="shared" si="759"/>
        <v>41369</v>
      </c>
      <c r="AAI112" s="63"/>
      <c r="AAJ112" s="56"/>
      <c r="AAK112" s="56"/>
      <c r="AAL112" s="56"/>
      <c r="AAM112" s="112"/>
      <c r="AAN112"/>
      <c r="AAT112" s="23"/>
      <c r="AAU112" s="44"/>
    </row>
    <row r="113" spans="1:732" ht="15" hidden="1" customHeight="1" outlineLevel="2">
      <c r="A113" s="558"/>
      <c r="B113" s="391" t="s">
        <v>210</v>
      </c>
      <c r="C113" s="390"/>
      <c r="D113" s="308" t="s">
        <v>57</v>
      </c>
      <c r="E113" s="368">
        <f t="shared" si="757"/>
        <v>1</v>
      </c>
      <c r="F113" s="492">
        <f t="shared" ca="1" si="758"/>
        <v>-67</v>
      </c>
      <c r="G113" s="383">
        <f t="shared" si="742"/>
        <v>41369</v>
      </c>
      <c r="H113" s="369">
        <f t="shared" si="742"/>
        <v>41369</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39"/>
        <v>0</v>
      </c>
      <c r="AAF113" s="112" t="s">
        <v>0</v>
      </c>
      <c r="AAG113" s="78">
        <f>H112</f>
        <v>41369</v>
      </c>
      <c r="AAH113" s="78">
        <f t="shared" si="759"/>
        <v>41369</v>
      </c>
      <c r="AAI113" s="63"/>
      <c r="AAJ113" s="56"/>
      <c r="AAK113" s="56"/>
      <c r="AAL113" s="56"/>
      <c r="AAM113" s="112"/>
      <c r="AAN113"/>
      <c r="AAT113" s="23"/>
      <c r="AAU113" s="44"/>
      <c r="AAV113" s="23"/>
      <c r="AAW113" s="23"/>
      <c r="AAX113" s="23"/>
      <c r="AAY113" s="23"/>
      <c r="AAZ113" s="23"/>
      <c r="ABA113" s="23"/>
      <c r="ABB113" s="23"/>
      <c r="ABC113" s="23"/>
      <c r="ABD113" s="23"/>
    </row>
    <row r="114" spans="1:732" ht="15" hidden="1" customHeight="1" outlineLevel="2">
      <c r="A114" s="558"/>
      <c r="B114" s="391" t="s">
        <v>210</v>
      </c>
      <c r="C114" s="390"/>
      <c r="D114" s="308" t="s">
        <v>57</v>
      </c>
      <c r="E114" s="368">
        <f t="shared" si="757"/>
        <v>1</v>
      </c>
      <c r="F114" s="492">
        <f t="shared" ca="1" si="758"/>
        <v>-67</v>
      </c>
      <c r="G114" s="383">
        <f t="shared" si="742"/>
        <v>41369</v>
      </c>
      <c r="H114" s="369">
        <f t="shared" si="742"/>
        <v>41369</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39"/>
        <v>0</v>
      </c>
      <c r="AAF114" s="112" t="s">
        <v>0</v>
      </c>
      <c r="AAG114" s="78">
        <f t="shared" ref="AAG114:AAG119" si="760">H113</f>
        <v>41369</v>
      </c>
      <c r="AAH114" s="78">
        <f t="shared" si="759"/>
        <v>41369</v>
      </c>
      <c r="AAI114" s="63"/>
      <c r="AAJ114" s="56"/>
      <c r="AAK114" s="56"/>
      <c r="AAL114" s="56"/>
      <c r="AAM114" s="112"/>
      <c r="AAN114"/>
      <c r="AAT114" s="23"/>
      <c r="AAU114" s="44"/>
    </row>
    <row r="115" spans="1:732" s="23" customFormat="1" ht="15" hidden="1" customHeight="1" outlineLevel="2">
      <c r="A115" s="558"/>
      <c r="B115" s="392" t="s">
        <v>203</v>
      </c>
      <c r="C115" s="707"/>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39"/>
        <v>0</v>
      </c>
      <c r="AAF115" s="583" t="s">
        <v>185</v>
      </c>
      <c r="AAG115" s="39"/>
      <c r="AAH115" s="39"/>
      <c r="AAI115" s="39"/>
      <c r="AAJ115" s="56"/>
      <c r="AAK115" s="56"/>
      <c r="AAL115" s="56"/>
      <c r="AAM115" s="112"/>
      <c r="AAU115" s="44"/>
    </row>
    <row r="116" spans="1:732" ht="15" hidden="1" customHeight="1" outlineLevel="2">
      <c r="A116" s="558"/>
      <c r="B116" s="393" t="str">
        <f ca="1">"Draft optional PRESENTATION."&amp;TEXT($G$107,"mm.dd.yy")&amp;""</f>
        <v>Draft optional PRESENTATION.07.08.13</v>
      </c>
      <c r="C116" s="231" t="s">
        <v>72</v>
      </c>
      <c r="D116" s="308" t="s">
        <v>57</v>
      </c>
      <c r="E116" s="368">
        <f t="shared" si="757"/>
        <v>1</v>
      </c>
      <c r="F116" s="492">
        <f t="shared" ca="1" si="758"/>
        <v>-67</v>
      </c>
      <c r="G116" s="383">
        <f t="shared" si="742"/>
        <v>41369</v>
      </c>
      <c r="H116" s="369">
        <f t="shared" si="742"/>
        <v>41369</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39"/>
        <v>0</v>
      </c>
      <c r="AAF116" s="112" t="s">
        <v>0</v>
      </c>
      <c r="AAG116" s="78">
        <f>H114</f>
        <v>41369</v>
      </c>
      <c r="AAH116" s="78">
        <f t="shared" si="759"/>
        <v>41369</v>
      </c>
      <c r="AAI116" s="63"/>
      <c r="AAJ116" s="56"/>
      <c r="AAK116" s="56"/>
      <c r="AAL116" s="56"/>
      <c r="AAM116" s="112"/>
      <c r="AAN116"/>
      <c r="AAT116" s="23"/>
      <c r="AAU116" s="44"/>
    </row>
    <row r="117" spans="1:732" s="23" customFormat="1" ht="15" hidden="1" customHeight="1" outlineLevel="2">
      <c r="A117" s="558"/>
      <c r="B117" s="393" t="s">
        <v>214</v>
      </c>
      <c r="C117" s="390"/>
      <c r="D117" s="308" t="s">
        <v>57</v>
      </c>
      <c r="E117" s="368">
        <f t="shared" ref="E117" si="761">NETWORKDAYS(G117,H117,S.DDL_DEQClosed)</f>
        <v>1</v>
      </c>
      <c r="F117" s="492">
        <f t="shared" ref="F117" ca="1" si="762">NETWORKDAYS(TODAY(),H117)</f>
        <v>-67</v>
      </c>
      <c r="G117" s="383">
        <f t="shared" ref="G117" si="763">AAG117</f>
        <v>41369</v>
      </c>
      <c r="H117" s="369">
        <f t="shared" ref="H117" si="764">AAH117</f>
        <v>41369</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5">IF(S.InvolveCommittee=TRUE,1,0)</f>
        <v>0</v>
      </c>
      <c r="AAF117" s="112" t="s">
        <v>0</v>
      </c>
      <c r="AAG117" s="78">
        <f t="shared" ref="AAG117" si="766">H116</f>
        <v>41369</v>
      </c>
      <c r="AAH117" s="78">
        <f t="shared" ref="AAH117" si="767">G117</f>
        <v>41369</v>
      </c>
      <c r="AAI117" s="63"/>
      <c r="AAJ117" s="56"/>
      <c r="AAK117" s="56"/>
      <c r="AAL117" s="56"/>
      <c r="AAM117" s="112"/>
      <c r="AAU117" s="44"/>
      <c r="AAV117"/>
      <c r="AAW117"/>
      <c r="AAX117"/>
      <c r="AAY117"/>
      <c r="AAZ117"/>
      <c r="ABA117"/>
      <c r="ABB117"/>
      <c r="ABC117"/>
      <c r="ABD117"/>
    </row>
    <row r="118" spans="1:732" ht="15" hidden="1" customHeight="1" outlineLevel="2">
      <c r="A118" s="558"/>
      <c r="B118" s="393" t="s">
        <v>208</v>
      </c>
      <c r="C118" s="390"/>
      <c r="D118" s="308" t="s">
        <v>57</v>
      </c>
      <c r="E118" s="368">
        <f t="shared" si="757"/>
        <v>1</v>
      </c>
      <c r="F118" s="492">
        <f t="shared" ca="1" si="758"/>
        <v>-67</v>
      </c>
      <c r="G118" s="383">
        <f t="shared" si="742"/>
        <v>41369</v>
      </c>
      <c r="H118" s="369">
        <f t="shared" si="742"/>
        <v>41369</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5"/>
        <v>0</v>
      </c>
      <c r="AAF118" s="112" t="s">
        <v>0</v>
      </c>
      <c r="AAG118" s="78">
        <f>H117</f>
        <v>41369</v>
      </c>
      <c r="AAH118" s="78">
        <f t="shared" si="759"/>
        <v>41369</v>
      </c>
      <c r="AAI118" s="63"/>
      <c r="AAJ118" s="56"/>
      <c r="AAK118" s="56"/>
      <c r="AAL118" s="56"/>
      <c r="AAM118" s="112"/>
      <c r="AAN118"/>
      <c r="AAT118" s="23"/>
      <c r="AAU118" s="44"/>
    </row>
    <row r="119" spans="1:732" ht="15" hidden="1" customHeight="1" outlineLevel="2">
      <c r="A119" s="558"/>
      <c r="B119" s="393" t="s">
        <v>209</v>
      </c>
      <c r="C119" s="390"/>
      <c r="D119" s="308" t="s">
        <v>57</v>
      </c>
      <c r="E119" s="368">
        <f t="shared" si="757"/>
        <v>1</v>
      </c>
      <c r="F119" s="492">
        <f t="shared" ca="1" si="758"/>
        <v>-67</v>
      </c>
      <c r="G119" s="383">
        <f t="shared" si="742"/>
        <v>41369</v>
      </c>
      <c r="H119" s="369">
        <f t="shared" si="742"/>
        <v>41369</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5"/>
        <v>0</v>
      </c>
      <c r="AAF119" s="112" t="s">
        <v>0</v>
      </c>
      <c r="AAG119" s="78">
        <f t="shared" si="760"/>
        <v>41369</v>
      </c>
      <c r="AAH119" s="78">
        <f t="shared" si="759"/>
        <v>41369</v>
      </c>
      <c r="AAI119" s="63"/>
      <c r="AAJ119" s="56"/>
      <c r="AAK119" s="56"/>
      <c r="AAL119" s="56"/>
      <c r="AAM119" s="112"/>
      <c r="AAN119"/>
      <c r="AAT119" s="23"/>
      <c r="AAU119" s="44"/>
    </row>
    <row r="120" spans="1:732" ht="15" hidden="1" customHeight="1" outlineLevel="2">
      <c r="A120" s="558"/>
      <c r="B120" s="394" t="s">
        <v>204</v>
      </c>
      <c r="C120" s="708"/>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5"/>
        <v>0</v>
      </c>
      <c r="AAF120" s="583" t="s">
        <v>185</v>
      </c>
      <c r="AAG120" s="39"/>
      <c r="AAH120" s="39"/>
      <c r="AAI120" s="39"/>
      <c r="AAJ120" s="56"/>
      <c r="AAK120" s="56"/>
      <c r="AAL120" s="56"/>
      <c r="AAM120" s="112"/>
      <c r="AAN120"/>
      <c r="AAT120" s="23"/>
      <c r="AAU120" s="44"/>
    </row>
    <row r="121" spans="1:732" ht="15" hidden="1" customHeight="1" outlineLevel="2">
      <c r="A121" s="558"/>
      <c r="B121" s="377" t="str">
        <f ca="1">"Draft COMMITTEE.NOTICE."&amp;TEXT($G$107,"mm.dd.yy")&amp;""</f>
        <v>Draft COMMITTEE.NOTICE.07.08.13</v>
      </c>
      <c r="C121" s="390"/>
      <c r="D121" s="308" t="s">
        <v>158</v>
      </c>
      <c r="E121" s="368">
        <f t="shared" si="757"/>
        <v>1</v>
      </c>
      <c r="F121" s="492">
        <f t="shared" ca="1" si="758"/>
        <v>-67</v>
      </c>
      <c r="G121" s="383">
        <f t="shared" si="742"/>
        <v>41369</v>
      </c>
      <c r="H121" s="369">
        <f t="shared" si="742"/>
        <v>41369</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5"/>
        <v>0</v>
      </c>
      <c r="AAF121" s="112" t="s">
        <v>0</v>
      </c>
      <c r="AAG121" s="78">
        <f>H119</f>
        <v>41369</v>
      </c>
      <c r="AAH121" s="78">
        <f t="shared" si="759"/>
        <v>41369</v>
      </c>
      <c r="AAI121" s="77"/>
      <c r="AAJ121" s="77"/>
      <c r="AAK121" s="77"/>
      <c r="AAL121" s="89" t="str">
        <f>"Draft "&amp;S.CodeName&amp;"COMMITTEE.NOTICE.mm.dd.yyyy.2.00"</f>
        <v>Draft COMMITTEE.NOTICE.mm.dd.yyyy.2.00</v>
      </c>
      <c r="AAM121" s="112"/>
      <c r="AAN121"/>
      <c r="AAT121" s="23"/>
      <c r="AAU121" s="44"/>
    </row>
    <row r="122" spans="1:732" ht="15" hidden="1"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5"/>
        <v>0</v>
      </c>
      <c r="AAF122" s="583" t="s">
        <v>185</v>
      </c>
      <c r="AAG122" s="63"/>
      <c r="AAH122" s="76" t="s">
        <v>0</v>
      </c>
      <c r="AAI122" s="77"/>
      <c r="AAJ122" s="77"/>
      <c r="AAK122" s="77"/>
      <c r="AAL122" s="56"/>
      <c r="AAM122" s="112"/>
      <c r="AAN122"/>
      <c r="AAT122" s="23"/>
      <c r="AAU122" s="44"/>
    </row>
    <row r="123" spans="1:732" ht="15" hidden="1" customHeight="1" outlineLevel="2">
      <c r="A123" s="558"/>
      <c r="B123" s="387" t="s">
        <v>213</v>
      </c>
      <c r="C123" s="347"/>
      <c r="D123" s="308" t="s">
        <v>166</v>
      </c>
      <c r="E123" s="368">
        <f>NETWORKDAYS(G123,H123,S.DDL_DEQClosed)</f>
        <v>1</v>
      </c>
      <c r="F123" s="492">
        <f ca="1">NETWORKDAYS(TODAY(),H123)</f>
        <v>-67</v>
      </c>
      <c r="G123" s="383">
        <f>AAG123</f>
        <v>41369</v>
      </c>
      <c r="H123" s="369">
        <f>AAH123</f>
        <v>41369</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5"/>
        <v>0</v>
      </c>
      <c r="AAF123" s="112"/>
      <c r="AAG123" s="78">
        <f>H121</f>
        <v>41369</v>
      </c>
      <c r="AAH123" s="78">
        <f>G123</f>
        <v>41369</v>
      </c>
      <c r="AAI123" s="77"/>
      <c r="AAJ123" s="77"/>
      <c r="AAK123" s="77"/>
      <c r="AAL123" s="56"/>
      <c r="AAM123" s="112"/>
      <c r="AAN123"/>
      <c r="AAT123" s="23"/>
      <c r="AAU123" s="44"/>
    </row>
    <row r="124" spans="1:732" ht="15" hidden="1" customHeight="1" outlineLevel="2">
      <c r="A124" s="558"/>
      <c r="B124" s="243" t="s">
        <v>56</v>
      </c>
      <c r="C124" s="168"/>
      <c r="D124" s="308" t="s">
        <v>374</v>
      </c>
      <c r="E124" s="368">
        <f t="shared" ref="E124:E126" si="768">NETWORKDAYS(G124,H124,S.DDL_DEQClosed)</f>
        <v>1</v>
      </c>
      <c r="F124" s="492">
        <f t="shared" ref="F124:F126" ca="1" si="769">NETWORKDAYS(TODAY(),H124)</f>
        <v>-67</v>
      </c>
      <c r="G124" s="383">
        <f t="shared" si="742"/>
        <v>41369</v>
      </c>
      <c r="H124" s="369">
        <f t="shared" si="742"/>
        <v>41369</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5"/>
        <v>0</v>
      </c>
      <c r="AAF124" s="112"/>
      <c r="AAG124" s="78">
        <f>H123</f>
        <v>41369</v>
      </c>
      <c r="AAH124" s="78">
        <f t="shared" ref="AAH124:AAH126" si="770">G124</f>
        <v>41369</v>
      </c>
      <c r="AAI124" s="77"/>
      <c r="AAJ124" s="77"/>
      <c r="AAK124" s="77"/>
      <c r="AAL124" s="56"/>
      <c r="AAM124" s="112"/>
      <c r="AAN124"/>
      <c r="AAT124" s="23"/>
      <c r="AAU124" s="44"/>
    </row>
    <row r="125" spans="1:732" ht="15" hidden="1" customHeight="1" outlineLevel="2">
      <c r="A125" s="558"/>
      <c r="B125" s="247" t="str">
        <f ca="1">"Draft MINUTES."&amp;TEXT($G$107,"mm.dd.yy")&amp;""</f>
        <v>Draft MINUTES.07.08.13</v>
      </c>
      <c r="C125" s="231" t="s">
        <v>72</v>
      </c>
      <c r="D125" s="278" t="s">
        <v>158</v>
      </c>
      <c r="E125" s="368">
        <f t="shared" si="768"/>
        <v>1</v>
      </c>
      <c r="F125" s="492">
        <f t="shared" ca="1" si="769"/>
        <v>-67</v>
      </c>
      <c r="G125" s="383">
        <f t="shared" si="742"/>
        <v>41369</v>
      </c>
      <c r="H125" s="369">
        <f t="shared" si="742"/>
        <v>41369</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5"/>
        <v>0</v>
      </c>
      <c r="AAF125" s="112"/>
      <c r="AAG125" s="78">
        <f t="shared" ref="AAG125:AAG126" si="771">H124</f>
        <v>41369</v>
      </c>
      <c r="AAH125" s="78">
        <f t="shared" si="770"/>
        <v>41369</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hidden="1" customHeight="1" outlineLevel="2">
      <c r="A126" s="558"/>
      <c r="B126" s="243" t="s">
        <v>55</v>
      </c>
      <c r="C126" s="168"/>
      <c r="D126" s="308" t="s">
        <v>374</v>
      </c>
      <c r="E126" s="368">
        <f t="shared" si="768"/>
        <v>1</v>
      </c>
      <c r="F126" s="492">
        <f t="shared" ca="1" si="769"/>
        <v>-67</v>
      </c>
      <c r="G126" s="383">
        <f t="shared" si="742"/>
        <v>41369</v>
      </c>
      <c r="H126" s="369">
        <f t="shared" si="742"/>
        <v>41369</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5"/>
        <v>0</v>
      </c>
      <c r="AAF126" s="112"/>
      <c r="AAG126" s="78">
        <f t="shared" si="771"/>
        <v>41369</v>
      </c>
      <c r="AAH126" s="78">
        <f t="shared" si="770"/>
        <v>41369</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hidden="1" customHeight="1" outlineLevel="1">
      <c r="A127" s="558"/>
      <c r="B127" s="244" t="s">
        <v>61</v>
      </c>
      <c r="C127" s="168"/>
      <c r="D127" s="770"/>
      <c r="E127" s="770"/>
      <c r="F127" s="770"/>
      <c r="G127" s="399">
        <f ca="1">TODAY()</f>
        <v>41463</v>
      </c>
      <c r="H127" s="399" t="s">
        <v>205</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5"/>
        <v>0</v>
      </c>
      <c r="AAF127" s="583" t="s">
        <v>185</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374</v>
      </c>
      <c r="E128" s="368">
        <f t="shared" ref="E128" si="772">NETWORKDAYS(G128,H128,S.DDL_DEQClosed)</f>
        <v>1</v>
      </c>
      <c r="F128" s="492">
        <f t="shared" ref="F128" ca="1" si="773">NETWORKDAYS(TODAY(),H128)</f>
        <v>-67</v>
      </c>
      <c r="G128" s="383">
        <f t="shared" ref="G128" si="774">AAG128</f>
        <v>41369</v>
      </c>
      <c r="H128" s="369">
        <f t="shared" ref="H128" si="775">AAH128</f>
        <v>41369</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5"/>
        <v>0</v>
      </c>
      <c r="AAF128" s="112"/>
      <c r="AAG128" s="78">
        <f>H125</f>
        <v>41369</v>
      </c>
      <c r="AAH128" s="78">
        <f t="shared" ref="AAH128" si="776">G128</f>
        <v>41369</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5"/>
        <v>0</v>
      </c>
      <c r="AAF129" s="583" t="s">
        <v>185</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AGENDA.07.08.13</v>
      </c>
      <c r="C130" s="231" t="s">
        <v>72</v>
      </c>
      <c r="D130" s="308" t="s">
        <v>57</v>
      </c>
      <c r="E130" s="368">
        <f t="shared" ref="E130:E134" si="777">NETWORKDAYS(G130,H130,S.DDL_DEQClosed)</f>
        <v>1</v>
      </c>
      <c r="F130" s="492">
        <f t="shared" ref="F130:F134" ca="1" si="778">NETWORKDAYS(TODAY(),H130)</f>
        <v>-67</v>
      </c>
      <c r="G130" s="383">
        <f t="shared" ref="G130:G134" si="779">AAG130</f>
        <v>41369</v>
      </c>
      <c r="H130" s="369">
        <f t="shared" ref="H130:H134" si="780">AAH130</f>
        <v>41369</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5"/>
        <v>0</v>
      </c>
      <c r="AAF130" s="112" t="s">
        <v>0</v>
      </c>
      <c r="AAG130" s="78">
        <f>H128</f>
        <v>41369</v>
      </c>
      <c r="AAH130" s="78">
        <f>G130</f>
        <v>41369</v>
      </c>
      <c r="AAI130" s="77"/>
      <c r="AAJ130" s="77"/>
      <c r="AAK130" s="77"/>
      <c r="AAL130" s="89" t="str">
        <f>"Draft "&amp;S.CodeName&amp;"AGENDA.mm.dd.yyyy.2.00"</f>
        <v>Draft AGENDA.mm.dd.yyyy.2.00</v>
      </c>
      <c r="AAM130" s="112"/>
      <c r="AAU130" s="44"/>
    </row>
    <row r="131" spans="1:723" s="23" customFormat="1" ht="15" hidden="1" customHeight="1" outlineLevel="2">
      <c r="A131" s="558"/>
      <c r="B131" s="391" t="s">
        <v>210</v>
      </c>
      <c r="C131" s="239"/>
      <c r="D131" s="308" t="s">
        <v>57</v>
      </c>
      <c r="E131" s="368">
        <f t="shared" si="777"/>
        <v>1</v>
      </c>
      <c r="F131" s="492">
        <f t="shared" ca="1" si="778"/>
        <v>-67</v>
      </c>
      <c r="G131" s="383">
        <f t="shared" si="779"/>
        <v>41369</v>
      </c>
      <c r="H131" s="369">
        <f t="shared" si="780"/>
        <v>41369</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5"/>
        <v>0</v>
      </c>
      <c r="AAF131" s="112" t="s">
        <v>0</v>
      </c>
      <c r="AAG131" s="78">
        <f>H130</f>
        <v>41369</v>
      </c>
      <c r="AAH131" s="78">
        <f t="shared" ref="AAH131:AAH134" si="781">G131</f>
        <v>41369</v>
      </c>
      <c r="AAI131" s="77"/>
      <c r="AAJ131" s="77"/>
      <c r="AAK131" s="77"/>
      <c r="AAL131" s="56"/>
      <c r="AAM131" s="112"/>
      <c r="AAU131" s="44"/>
    </row>
    <row r="132" spans="1:723" s="23" customFormat="1" ht="15" hidden="1" customHeight="1" outlineLevel="2">
      <c r="A132" s="558"/>
      <c r="B132" s="391" t="s">
        <v>210</v>
      </c>
      <c r="C132" s="239"/>
      <c r="D132" s="308" t="s">
        <v>57</v>
      </c>
      <c r="E132" s="368">
        <f t="shared" si="777"/>
        <v>1</v>
      </c>
      <c r="F132" s="492">
        <f t="shared" ca="1" si="778"/>
        <v>-67</v>
      </c>
      <c r="G132" s="383">
        <f t="shared" si="779"/>
        <v>41369</v>
      </c>
      <c r="H132" s="369">
        <f t="shared" si="780"/>
        <v>41369</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5"/>
        <v>0</v>
      </c>
      <c r="AAF132" s="112" t="s">
        <v>0</v>
      </c>
      <c r="AAG132" s="78">
        <f>H131</f>
        <v>41369</v>
      </c>
      <c r="AAH132" s="78">
        <f t="shared" si="781"/>
        <v>41369</v>
      </c>
      <c r="AAI132" s="77"/>
      <c r="AAJ132" s="77"/>
      <c r="AAK132" s="77"/>
      <c r="AAL132" s="56"/>
      <c r="AAM132" s="112"/>
      <c r="AAU132" s="44"/>
    </row>
    <row r="133" spans="1:723" s="23" customFormat="1" ht="15" hidden="1" customHeight="1" outlineLevel="2">
      <c r="A133" s="558"/>
      <c r="B133" s="391" t="s">
        <v>210</v>
      </c>
      <c r="C133" s="239"/>
      <c r="D133" s="308" t="s">
        <v>57</v>
      </c>
      <c r="E133" s="368">
        <f t="shared" si="777"/>
        <v>1</v>
      </c>
      <c r="F133" s="492">
        <f t="shared" ca="1" si="778"/>
        <v>-67</v>
      </c>
      <c r="G133" s="383">
        <f t="shared" si="779"/>
        <v>41369</v>
      </c>
      <c r="H133" s="369">
        <f t="shared" si="780"/>
        <v>41369</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5"/>
        <v>0</v>
      </c>
      <c r="AAF133" s="112" t="s">
        <v>0</v>
      </c>
      <c r="AAG133" s="78">
        <f>H132</f>
        <v>41369</v>
      </c>
      <c r="AAH133" s="78">
        <f t="shared" si="781"/>
        <v>41369</v>
      </c>
      <c r="AAI133" s="77"/>
      <c r="AAJ133" s="77"/>
      <c r="AAK133" s="77"/>
      <c r="AAL133" s="56"/>
      <c r="AAM133" s="112"/>
      <c r="AAU133" s="44"/>
    </row>
    <row r="134" spans="1:723" s="23" customFormat="1" ht="15" hidden="1" customHeight="1" outlineLevel="2">
      <c r="A134" s="558"/>
      <c r="B134" s="391" t="s">
        <v>210</v>
      </c>
      <c r="C134" s="239"/>
      <c r="D134" s="308" t="s">
        <v>57</v>
      </c>
      <c r="E134" s="368">
        <f t="shared" si="777"/>
        <v>1</v>
      </c>
      <c r="F134" s="492">
        <f t="shared" ca="1" si="778"/>
        <v>-67</v>
      </c>
      <c r="G134" s="383">
        <f t="shared" si="779"/>
        <v>41369</v>
      </c>
      <c r="H134" s="369">
        <f t="shared" si="780"/>
        <v>41369</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5"/>
        <v>0</v>
      </c>
      <c r="AAF134" s="112" t="s">
        <v>0</v>
      </c>
      <c r="AAG134" s="78">
        <f t="shared" ref="AAG134" si="782">H133</f>
        <v>41369</v>
      </c>
      <c r="AAH134" s="78">
        <f t="shared" si="781"/>
        <v>41369</v>
      </c>
      <c r="AAI134" s="77"/>
      <c r="AAJ134" s="77"/>
      <c r="AAK134" s="77"/>
      <c r="AAL134" s="56"/>
      <c r="AAM134" s="112"/>
      <c r="AAU134" s="44"/>
    </row>
    <row r="135" spans="1:723" s="23" customFormat="1" ht="15" hidden="1" customHeight="1" outlineLevel="2">
      <c r="A135" s="558"/>
      <c r="B135" s="392" t="s">
        <v>203</v>
      </c>
      <c r="C135" s="709"/>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5"/>
        <v>0</v>
      </c>
      <c r="AAF135" s="583" t="s">
        <v>185</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PRESENTATION.07.08.13</v>
      </c>
      <c r="C136" s="231" t="s">
        <v>72</v>
      </c>
      <c r="D136" s="308" t="s">
        <v>57</v>
      </c>
      <c r="E136" s="368">
        <f t="shared" ref="E136:E139" si="783">NETWORKDAYS(G136,H136,S.DDL_DEQClosed)</f>
        <v>1</v>
      </c>
      <c r="F136" s="492">
        <f t="shared" ref="F136:F139" ca="1" si="784">NETWORKDAYS(TODAY(),H136)</f>
        <v>-67</v>
      </c>
      <c r="G136" s="383">
        <f t="shared" ref="G136:G139" si="785">AAG136</f>
        <v>41369</v>
      </c>
      <c r="H136" s="369">
        <f t="shared" ref="H136:H139" si="786">AAH136</f>
        <v>41369</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5"/>
        <v>0</v>
      </c>
      <c r="AAF136" s="112" t="s">
        <v>0</v>
      </c>
      <c r="AAG136" s="78">
        <f>H134</f>
        <v>41369</v>
      </c>
      <c r="AAH136" s="78">
        <f t="shared" ref="AAH136:AAH139" si="787">G136</f>
        <v>41369</v>
      </c>
      <c r="AAI136" s="77"/>
      <c r="AAJ136" s="77"/>
      <c r="AAK136" s="77"/>
      <c r="AAL136" s="56"/>
      <c r="AAM136" s="112"/>
      <c r="AAU136" s="44"/>
    </row>
    <row r="137" spans="1:723" s="23" customFormat="1" ht="15" hidden="1" customHeight="1" outlineLevel="2">
      <c r="A137" s="558"/>
      <c r="B137" s="393" t="s">
        <v>214</v>
      </c>
      <c r="C137" s="239"/>
      <c r="D137" s="308" t="s">
        <v>57</v>
      </c>
      <c r="E137" s="368">
        <f t="shared" si="783"/>
        <v>1</v>
      </c>
      <c r="F137" s="492">
        <f t="shared" ca="1" si="784"/>
        <v>-67</v>
      </c>
      <c r="G137" s="383">
        <f t="shared" si="785"/>
        <v>41369</v>
      </c>
      <c r="H137" s="369">
        <f t="shared" si="786"/>
        <v>41369</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5"/>
        <v>0</v>
      </c>
      <c r="AAF137" s="112" t="s">
        <v>0</v>
      </c>
      <c r="AAG137" s="78">
        <f t="shared" ref="AAG137" si="788">H136</f>
        <v>41369</v>
      </c>
      <c r="AAH137" s="78">
        <f t="shared" si="787"/>
        <v>41369</v>
      </c>
      <c r="AAI137" s="77"/>
      <c r="AAJ137" s="77"/>
      <c r="AAK137" s="77"/>
      <c r="AAL137" s="56"/>
      <c r="AAM137" s="112"/>
      <c r="AAU137" s="44"/>
    </row>
    <row r="138" spans="1:723" s="23" customFormat="1" ht="15" hidden="1" customHeight="1" outlineLevel="2">
      <c r="A138" s="558"/>
      <c r="B138" s="393" t="s">
        <v>208</v>
      </c>
      <c r="C138" s="239"/>
      <c r="D138" s="308" t="s">
        <v>57</v>
      </c>
      <c r="E138" s="368">
        <f t="shared" si="783"/>
        <v>1</v>
      </c>
      <c r="F138" s="492">
        <f t="shared" ca="1" si="784"/>
        <v>-67</v>
      </c>
      <c r="G138" s="383">
        <f t="shared" si="785"/>
        <v>41369</v>
      </c>
      <c r="H138" s="369">
        <f t="shared" si="786"/>
        <v>41369</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5"/>
        <v>0</v>
      </c>
      <c r="AAF138" s="112" t="s">
        <v>0</v>
      </c>
      <c r="AAG138" s="78">
        <f>H137</f>
        <v>41369</v>
      </c>
      <c r="AAH138" s="78">
        <f t="shared" si="787"/>
        <v>41369</v>
      </c>
      <c r="AAI138" s="77"/>
      <c r="AAJ138" s="77"/>
      <c r="AAK138" s="77"/>
      <c r="AAL138" s="56"/>
      <c r="AAM138" s="112"/>
      <c r="AAU138" s="44"/>
    </row>
    <row r="139" spans="1:723" s="23" customFormat="1" ht="15" hidden="1" customHeight="1" outlineLevel="2">
      <c r="A139" s="558"/>
      <c r="B139" s="393" t="s">
        <v>209</v>
      </c>
      <c r="C139" s="239"/>
      <c r="D139" s="308" t="s">
        <v>57</v>
      </c>
      <c r="E139" s="368">
        <f t="shared" si="783"/>
        <v>1</v>
      </c>
      <c r="F139" s="492">
        <f t="shared" ca="1" si="784"/>
        <v>-67</v>
      </c>
      <c r="G139" s="383">
        <f t="shared" si="785"/>
        <v>41369</v>
      </c>
      <c r="H139" s="369">
        <f t="shared" si="786"/>
        <v>41369</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5"/>
        <v>0</v>
      </c>
      <c r="AAF139" s="112" t="s">
        <v>0</v>
      </c>
      <c r="AAG139" s="78">
        <f t="shared" ref="AAG139" si="789">H138</f>
        <v>41369</v>
      </c>
      <c r="AAH139" s="78">
        <f t="shared" si="787"/>
        <v>41369</v>
      </c>
      <c r="AAI139" s="77"/>
      <c r="AAJ139" s="77"/>
      <c r="AAK139" s="77"/>
      <c r="AAL139" s="56"/>
      <c r="AAM139" s="112"/>
      <c r="AAU139" s="44"/>
    </row>
    <row r="140" spans="1:723" s="23" customFormat="1" ht="15" hidden="1" customHeight="1" outlineLevel="2">
      <c r="A140" s="558"/>
      <c r="B140" s="394" t="s">
        <v>204</v>
      </c>
      <c r="C140" s="710"/>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5"/>
        <v>0</v>
      </c>
      <c r="AAF140" s="583" t="s">
        <v>185</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COMMITTEE.NOTICE.07.08.13</v>
      </c>
      <c r="C141" s="239"/>
      <c r="D141" s="308" t="s">
        <v>158</v>
      </c>
      <c r="E141" s="368">
        <f t="shared" ref="E141" si="790">NETWORKDAYS(G141,H141,S.DDL_DEQClosed)</f>
        <v>1</v>
      </c>
      <c r="F141" s="492">
        <f t="shared" ref="F141" ca="1" si="791">NETWORKDAYS(TODAY(),H141)</f>
        <v>-67</v>
      </c>
      <c r="G141" s="383">
        <f t="shared" ref="G141" si="792">AAG141</f>
        <v>41369</v>
      </c>
      <c r="H141" s="369">
        <f t="shared" ref="H141" si="793">AAH141</f>
        <v>41369</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5"/>
        <v>0</v>
      </c>
      <c r="AAF141" s="112" t="s">
        <v>0</v>
      </c>
      <c r="AAG141" s="78">
        <f>H139</f>
        <v>41369</v>
      </c>
      <c r="AAH141" s="78">
        <f t="shared" ref="AAH141" si="794">G141</f>
        <v>41369</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5"/>
        <v>0</v>
      </c>
      <c r="AAF142" s="583" t="s">
        <v>185</v>
      </c>
      <c r="AAG142" s="63"/>
      <c r="AAH142" s="76" t="s">
        <v>0</v>
      </c>
      <c r="AAI142" s="77"/>
      <c r="AAJ142" s="77"/>
      <c r="AAK142" s="77"/>
      <c r="AAL142" s="56"/>
      <c r="AAM142" s="112"/>
      <c r="AAU142" s="44"/>
    </row>
    <row r="143" spans="1:723" s="23" customFormat="1" ht="15" hidden="1" customHeight="1" outlineLevel="2">
      <c r="A143" s="558"/>
      <c r="B143" s="387" t="s">
        <v>213</v>
      </c>
      <c r="C143" s="168"/>
      <c r="D143" s="308" t="s">
        <v>166</v>
      </c>
      <c r="E143" s="368">
        <f>NETWORKDAYS(G143,H143,S.DDL_DEQClosed)</f>
        <v>1</v>
      </c>
      <c r="F143" s="492">
        <f ca="1">NETWORKDAYS(TODAY(),H143)</f>
        <v>-67</v>
      </c>
      <c r="G143" s="383">
        <f>AAG143</f>
        <v>41369</v>
      </c>
      <c r="H143" s="369">
        <f>AAH143</f>
        <v>41369</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5"/>
        <v>0</v>
      </c>
      <c r="AAF143" s="112"/>
      <c r="AAG143" s="78">
        <f>H141</f>
        <v>41369</v>
      </c>
      <c r="AAH143" s="78">
        <f>G143</f>
        <v>41369</v>
      </c>
      <c r="AAI143" s="77"/>
      <c r="AAJ143" s="77"/>
      <c r="AAK143" s="77"/>
      <c r="AAL143" s="56"/>
      <c r="AAM143" s="112"/>
      <c r="AAU143" s="44"/>
    </row>
    <row r="144" spans="1:723" s="23" customFormat="1" ht="15" hidden="1" customHeight="1" outlineLevel="2">
      <c r="A144" s="558"/>
      <c r="B144" s="387" t="s">
        <v>56</v>
      </c>
      <c r="C144" s="168"/>
      <c r="D144" s="308" t="s">
        <v>374</v>
      </c>
      <c r="E144" s="368">
        <f t="shared" ref="E144:E146" si="795">NETWORKDAYS(G144,H144,S.DDL_DEQClosed)</f>
        <v>1</v>
      </c>
      <c r="F144" s="492">
        <f t="shared" ref="F144:F146" ca="1" si="796">NETWORKDAYS(TODAY(),H144)</f>
        <v>-67</v>
      </c>
      <c r="G144" s="383">
        <f t="shared" ref="G144:G146" si="797">AAG144</f>
        <v>41369</v>
      </c>
      <c r="H144" s="369">
        <f t="shared" ref="H144:H146" si="798">AAH144</f>
        <v>41369</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5"/>
        <v>0</v>
      </c>
      <c r="AAF144" s="112"/>
      <c r="AAG144" s="78">
        <f>H143</f>
        <v>41369</v>
      </c>
      <c r="AAH144" s="78">
        <f t="shared" ref="AAH144:AAH146" si="799">G144</f>
        <v>41369</v>
      </c>
      <c r="AAI144" s="77"/>
      <c r="AAJ144" s="77"/>
      <c r="AAK144" s="77"/>
      <c r="AAL144" s="56"/>
      <c r="AAM144" s="112"/>
      <c r="AAU144" s="44"/>
    </row>
    <row r="145" spans="1:723" s="23" customFormat="1" ht="15" hidden="1" customHeight="1" outlineLevel="2">
      <c r="A145" s="558"/>
      <c r="B145" s="404" t="str">
        <f ca="1">"Draft MINUTES."&amp;TEXT($G$127,"mm.dd.yy")&amp;""</f>
        <v>Draft MINUTES.07.08.13</v>
      </c>
      <c r="C145" s="231" t="s">
        <v>72</v>
      </c>
      <c r="D145" s="278" t="s">
        <v>158</v>
      </c>
      <c r="E145" s="368">
        <f t="shared" si="795"/>
        <v>1</v>
      </c>
      <c r="F145" s="492">
        <f t="shared" ca="1" si="796"/>
        <v>-67</v>
      </c>
      <c r="G145" s="383">
        <f t="shared" si="797"/>
        <v>41369</v>
      </c>
      <c r="H145" s="369">
        <f t="shared" si="798"/>
        <v>41369</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5"/>
        <v>0</v>
      </c>
      <c r="AAF145" s="112"/>
      <c r="AAG145" s="78">
        <f t="shared" ref="AAG145:AAG146" si="800">H144</f>
        <v>41369</v>
      </c>
      <c r="AAH145" s="78">
        <f t="shared" si="799"/>
        <v>41369</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374</v>
      </c>
      <c r="E146" s="368">
        <f t="shared" si="795"/>
        <v>1</v>
      </c>
      <c r="F146" s="492">
        <f t="shared" ca="1" si="796"/>
        <v>-67</v>
      </c>
      <c r="G146" s="383">
        <f t="shared" si="797"/>
        <v>41369</v>
      </c>
      <c r="H146" s="369">
        <f t="shared" si="798"/>
        <v>41369</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5"/>
        <v>0</v>
      </c>
      <c r="AAF146" s="112"/>
      <c r="AAG146" s="78">
        <f t="shared" si="800"/>
        <v>41369</v>
      </c>
      <c r="AAH146" s="78">
        <f t="shared" si="799"/>
        <v>41369</v>
      </c>
      <c r="AAI146" s="77"/>
      <c r="AAJ146" s="77"/>
      <c r="AAK146" s="77"/>
      <c r="AAL146" s="56"/>
      <c r="AAM146" s="112"/>
      <c r="AAU146" s="44"/>
    </row>
    <row r="147" spans="1:723" s="23" customFormat="1" ht="18" hidden="1" customHeight="1" outlineLevel="1" collapsed="1">
      <c r="A147" s="558"/>
      <c r="B147" s="244" t="s">
        <v>60</v>
      </c>
      <c r="C147" s="168"/>
      <c r="D147" s="770"/>
      <c r="E147" s="770"/>
      <c r="F147" s="770"/>
      <c r="G147" s="388">
        <f ca="1">TODAY()</f>
        <v>41463</v>
      </c>
      <c r="H147" s="388" t="s">
        <v>205</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5"/>
        <v>0</v>
      </c>
      <c r="AAF147" s="583" t="s">
        <v>185</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374</v>
      </c>
      <c r="E148" s="379">
        <f t="shared" ref="E148" si="801">NETWORKDAYS(G148,H148,S.DDL_DEQClosed)</f>
        <v>1</v>
      </c>
      <c r="F148" s="492">
        <f t="shared" ref="F148" ca="1" si="802">NETWORKDAYS(TODAY(),H148)</f>
        <v>-67</v>
      </c>
      <c r="G148" s="381">
        <f t="shared" ref="G148" si="803">AAG148</f>
        <v>41369</v>
      </c>
      <c r="H148" s="382">
        <f t="shared" ref="H148" si="804">AAH148</f>
        <v>41369</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5"/>
        <v>0</v>
      </c>
      <c r="AAF148" s="112"/>
      <c r="AAG148" s="78">
        <f>H145</f>
        <v>41369</v>
      </c>
      <c r="AAH148" s="78">
        <f t="shared" ref="AAH148" si="805">G148</f>
        <v>41369</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6">IF(S.InvolveCommittee=TRUE,1,0)</f>
        <v>0</v>
      </c>
      <c r="AAF149" s="583" t="s">
        <v>185</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AGENDA.07.08.13</v>
      </c>
      <c r="C150" s="231" t="s">
        <v>72</v>
      </c>
      <c r="D150" s="169" t="s">
        <v>57</v>
      </c>
      <c r="E150" s="379">
        <f t="shared" ref="E150:E154" si="807">NETWORKDAYS(G150,H150,S.DDL_DEQClosed)</f>
        <v>1</v>
      </c>
      <c r="F150" s="492">
        <f t="shared" ref="F150:F154" ca="1" si="808">NETWORKDAYS(TODAY(),H150)</f>
        <v>-67</v>
      </c>
      <c r="G150" s="381">
        <f t="shared" ref="G150:G154" si="809">AAG150</f>
        <v>41369</v>
      </c>
      <c r="H150" s="382">
        <f t="shared" ref="H150:H154" si="810">AAH150</f>
        <v>41369</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6"/>
        <v>0</v>
      </c>
      <c r="AAF150" s="112" t="s">
        <v>0</v>
      </c>
      <c r="AAG150" s="78">
        <f>H148</f>
        <v>41369</v>
      </c>
      <c r="AAH150" s="78">
        <f>G150</f>
        <v>41369</v>
      </c>
      <c r="AAI150" s="77"/>
      <c r="AAJ150" s="77"/>
      <c r="AAK150" s="77"/>
      <c r="AAL150" s="89" t="str">
        <f>"Draft "&amp;S.CodeName&amp;"AGENDA.mm.dd.yyyy.2.00"</f>
        <v>Draft AGENDA.mm.dd.yyyy.2.00</v>
      </c>
      <c r="AAM150" s="112"/>
      <c r="AAU150" s="44"/>
    </row>
    <row r="151" spans="1:723" s="23" customFormat="1" ht="15" hidden="1" customHeight="1" outlineLevel="2">
      <c r="A151" s="558"/>
      <c r="B151" s="391" t="s">
        <v>210</v>
      </c>
      <c r="C151" s="239"/>
      <c r="D151" s="169" t="s">
        <v>57</v>
      </c>
      <c r="E151" s="379">
        <f t="shared" si="807"/>
        <v>1</v>
      </c>
      <c r="F151" s="492">
        <f t="shared" ca="1" si="808"/>
        <v>-67</v>
      </c>
      <c r="G151" s="381">
        <f t="shared" si="809"/>
        <v>41369</v>
      </c>
      <c r="H151" s="382">
        <f t="shared" si="810"/>
        <v>41369</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6"/>
        <v>0</v>
      </c>
      <c r="AAF151" s="112" t="s">
        <v>0</v>
      </c>
      <c r="AAG151" s="78">
        <f>H150</f>
        <v>41369</v>
      </c>
      <c r="AAH151" s="78">
        <f t="shared" ref="AAH151:AAH154" si="811">G151</f>
        <v>41369</v>
      </c>
      <c r="AAI151" s="77"/>
      <c r="AAJ151" s="77"/>
      <c r="AAK151" s="77"/>
      <c r="AAL151" s="56"/>
      <c r="AAM151" s="112"/>
      <c r="AAU151" s="44"/>
    </row>
    <row r="152" spans="1:723" s="23" customFormat="1" ht="15" hidden="1" customHeight="1" outlineLevel="2">
      <c r="A152" s="558"/>
      <c r="B152" s="391" t="s">
        <v>210</v>
      </c>
      <c r="C152" s="239"/>
      <c r="D152" s="169" t="s">
        <v>57</v>
      </c>
      <c r="E152" s="379">
        <f t="shared" si="807"/>
        <v>1</v>
      </c>
      <c r="F152" s="492">
        <f t="shared" ca="1" si="808"/>
        <v>-67</v>
      </c>
      <c r="G152" s="381">
        <f t="shared" si="809"/>
        <v>41369</v>
      </c>
      <c r="H152" s="382">
        <f t="shared" si="810"/>
        <v>41369</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6"/>
        <v>0</v>
      </c>
      <c r="AAF152" s="112" t="s">
        <v>0</v>
      </c>
      <c r="AAG152" s="78">
        <f>H151</f>
        <v>41369</v>
      </c>
      <c r="AAH152" s="78">
        <f t="shared" si="811"/>
        <v>41369</v>
      </c>
      <c r="AAI152" s="77"/>
      <c r="AAJ152" s="77"/>
      <c r="AAK152" s="77"/>
      <c r="AAL152" s="56"/>
      <c r="AAM152" s="112"/>
      <c r="AAU152" s="44"/>
    </row>
    <row r="153" spans="1:723" s="23" customFormat="1" ht="15" hidden="1" customHeight="1" outlineLevel="2">
      <c r="A153" s="558"/>
      <c r="B153" s="391" t="s">
        <v>210</v>
      </c>
      <c r="C153" s="239"/>
      <c r="D153" s="169" t="s">
        <v>57</v>
      </c>
      <c r="E153" s="379">
        <f t="shared" si="807"/>
        <v>1</v>
      </c>
      <c r="F153" s="492">
        <f t="shared" ca="1" si="808"/>
        <v>-67</v>
      </c>
      <c r="G153" s="381">
        <f t="shared" si="809"/>
        <v>41369</v>
      </c>
      <c r="H153" s="382">
        <f t="shared" si="810"/>
        <v>41369</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6"/>
        <v>0</v>
      </c>
      <c r="AAF153" s="112" t="s">
        <v>0</v>
      </c>
      <c r="AAG153" s="78">
        <f>H152</f>
        <v>41369</v>
      </c>
      <c r="AAH153" s="78">
        <f t="shared" si="811"/>
        <v>41369</v>
      </c>
      <c r="AAI153" s="77"/>
      <c r="AAJ153" s="77"/>
      <c r="AAK153" s="77"/>
      <c r="AAL153" s="56"/>
      <c r="AAM153" s="112"/>
      <c r="AAU153" s="44"/>
    </row>
    <row r="154" spans="1:723" s="23" customFormat="1" ht="15" hidden="1" customHeight="1" outlineLevel="2">
      <c r="A154" s="558"/>
      <c r="B154" s="391" t="s">
        <v>210</v>
      </c>
      <c r="C154" s="239"/>
      <c r="D154" s="169" t="s">
        <v>57</v>
      </c>
      <c r="E154" s="379">
        <f t="shared" si="807"/>
        <v>1</v>
      </c>
      <c r="F154" s="492">
        <f t="shared" ca="1" si="808"/>
        <v>-67</v>
      </c>
      <c r="G154" s="381">
        <f t="shared" si="809"/>
        <v>41369</v>
      </c>
      <c r="H154" s="382">
        <f t="shared" si="810"/>
        <v>41369</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6"/>
        <v>0</v>
      </c>
      <c r="AAF154" s="112" t="s">
        <v>0</v>
      </c>
      <c r="AAG154" s="78">
        <f t="shared" ref="AAG154" si="812">H153</f>
        <v>41369</v>
      </c>
      <c r="AAH154" s="78">
        <f t="shared" si="811"/>
        <v>41369</v>
      </c>
      <c r="AAI154" s="77"/>
      <c r="AAJ154" s="77"/>
      <c r="AAK154" s="77"/>
      <c r="AAL154" s="56"/>
      <c r="AAM154" s="112"/>
      <c r="AAU154" s="44"/>
    </row>
    <row r="155" spans="1:723" s="23" customFormat="1" ht="15" hidden="1" customHeight="1" outlineLevel="2">
      <c r="A155" s="558"/>
      <c r="B155" s="392" t="s">
        <v>203</v>
      </c>
      <c r="C155" s="709"/>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6"/>
        <v>0</v>
      </c>
      <c r="AAF155" s="583" t="s">
        <v>185</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PRESENTATION.07.08.13</v>
      </c>
      <c r="C156" s="231" t="s">
        <v>72</v>
      </c>
      <c r="D156" s="169" t="s">
        <v>57</v>
      </c>
      <c r="E156" s="379">
        <f t="shared" ref="E156:E159" si="813">NETWORKDAYS(G156,H156,S.DDL_DEQClosed)</f>
        <v>1</v>
      </c>
      <c r="F156" s="492">
        <f t="shared" ref="F156:F159" ca="1" si="814">NETWORKDAYS(TODAY(),H156)</f>
        <v>-67</v>
      </c>
      <c r="G156" s="381">
        <f t="shared" ref="G156:G159" si="815">AAG156</f>
        <v>41369</v>
      </c>
      <c r="H156" s="382">
        <f t="shared" ref="H156:H159" si="816">AAH156</f>
        <v>41369</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6"/>
        <v>0</v>
      </c>
      <c r="AAF156" s="112" t="s">
        <v>0</v>
      </c>
      <c r="AAG156" s="78">
        <f>H154</f>
        <v>41369</v>
      </c>
      <c r="AAH156" s="78">
        <f t="shared" ref="AAH156:AAH159" si="817">G156</f>
        <v>41369</v>
      </c>
      <c r="AAI156" s="63"/>
      <c r="AAJ156" s="56"/>
      <c r="AAK156" s="56"/>
      <c r="AAL156" s="56"/>
      <c r="AAM156" s="112"/>
      <c r="AAU156" s="44"/>
    </row>
    <row r="157" spans="1:723" s="23" customFormat="1" ht="15" hidden="1" customHeight="1" outlineLevel="2">
      <c r="A157" s="558"/>
      <c r="B157" s="393" t="s">
        <v>214</v>
      </c>
      <c r="C157" s="239"/>
      <c r="D157" s="169" t="s">
        <v>57</v>
      </c>
      <c r="E157" s="379">
        <f t="shared" si="813"/>
        <v>1</v>
      </c>
      <c r="F157" s="492">
        <f t="shared" ca="1" si="814"/>
        <v>-67</v>
      </c>
      <c r="G157" s="381">
        <f t="shared" si="815"/>
        <v>41369</v>
      </c>
      <c r="H157" s="382">
        <f t="shared" si="816"/>
        <v>41369</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6"/>
        <v>0</v>
      </c>
      <c r="AAF157" s="112" t="s">
        <v>0</v>
      </c>
      <c r="AAG157" s="78">
        <f t="shared" ref="AAG157" si="818">H156</f>
        <v>41369</v>
      </c>
      <c r="AAH157" s="78">
        <f t="shared" si="817"/>
        <v>41369</v>
      </c>
      <c r="AAI157" s="63"/>
      <c r="AAJ157" s="56"/>
      <c r="AAK157" s="56"/>
      <c r="AAL157" s="56"/>
      <c r="AAM157" s="112"/>
      <c r="AAU157" s="44"/>
    </row>
    <row r="158" spans="1:723" s="23" customFormat="1" ht="15" hidden="1" customHeight="1" outlineLevel="2">
      <c r="A158" s="558"/>
      <c r="B158" s="393" t="s">
        <v>208</v>
      </c>
      <c r="C158" s="239"/>
      <c r="D158" s="169" t="s">
        <v>57</v>
      </c>
      <c r="E158" s="379">
        <f t="shared" si="813"/>
        <v>1</v>
      </c>
      <c r="F158" s="492">
        <f t="shared" ca="1" si="814"/>
        <v>-67</v>
      </c>
      <c r="G158" s="381">
        <f t="shared" si="815"/>
        <v>41369</v>
      </c>
      <c r="H158" s="382">
        <f t="shared" si="816"/>
        <v>41369</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6"/>
        <v>0</v>
      </c>
      <c r="AAF158" s="112" t="s">
        <v>0</v>
      </c>
      <c r="AAG158" s="78">
        <f>H157</f>
        <v>41369</v>
      </c>
      <c r="AAH158" s="78">
        <f t="shared" si="817"/>
        <v>41369</v>
      </c>
      <c r="AAI158" s="63"/>
      <c r="AAJ158" s="56"/>
      <c r="AAK158" s="56"/>
      <c r="AAL158" s="56"/>
      <c r="AAM158" s="112"/>
      <c r="AAU158" s="44"/>
    </row>
    <row r="159" spans="1:723" s="23" customFormat="1" ht="15" hidden="1" customHeight="1" outlineLevel="2">
      <c r="A159" s="558"/>
      <c r="B159" s="393" t="s">
        <v>209</v>
      </c>
      <c r="C159" s="239"/>
      <c r="D159" s="169" t="s">
        <v>57</v>
      </c>
      <c r="E159" s="379">
        <f t="shared" si="813"/>
        <v>1</v>
      </c>
      <c r="F159" s="492">
        <f t="shared" ca="1" si="814"/>
        <v>-67</v>
      </c>
      <c r="G159" s="381">
        <f t="shared" si="815"/>
        <v>41369</v>
      </c>
      <c r="H159" s="382">
        <f t="shared" si="816"/>
        <v>41369</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6"/>
        <v>0</v>
      </c>
      <c r="AAF159" s="112" t="s">
        <v>0</v>
      </c>
      <c r="AAG159" s="78">
        <f t="shared" ref="AAG159" si="819">H158</f>
        <v>41369</v>
      </c>
      <c r="AAH159" s="78">
        <f t="shared" si="817"/>
        <v>41369</v>
      </c>
      <c r="AAI159" s="63"/>
      <c r="AAJ159" s="56"/>
      <c r="AAK159" s="56"/>
      <c r="AAL159" s="56"/>
      <c r="AAM159" s="112"/>
      <c r="AAU159" s="44"/>
    </row>
    <row r="160" spans="1:723" s="23" customFormat="1" ht="15" hidden="1" customHeight="1" outlineLevel="2">
      <c r="A160" s="558"/>
      <c r="B160" s="394" t="s">
        <v>204</v>
      </c>
      <c r="C160" s="710"/>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6"/>
        <v>0</v>
      </c>
      <c r="AAF160" s="583" t="s">
        <v>185</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COMMITTEE.NOTICE.07.08.13</v>
      </c>
      <c r="C161" s="239"/>
      <c r="D161" s="169" t="s">
        <v>158</v>
      </c>
      <c r="E161" s="379">
        <f t="shared" ref="E161" si="820">NETWORKDAYS(G161,H161,S.DDL_DEQClosed)</f>
        <v>1</v>
      </c>
      <c r="F161" s="492">
        <f t="shared" ref="F161" ca="1" si="821">NETWORKDAYS(TODAY(),H161)</f>
        <v>-67</v>
      </c>
      <c r="G161" s="381">
        <f t="shared" ref="G161" si="822">AAG161</f>
        <v>41369</v>
      </c>
      <c r="H161" s="382">
        <f t="shared" ref="H161" si="823">AAH161</f>
        <v>41369</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6"/>
        <v>0</v>
      </c>
      <c r="AAF161" s="112" t="s">
        <v>0</v>
      </c>
      <c r="AAG161" s="78">
        <f>H159</f>
        <v>41369</v>
      </c>
      <c r="AAH161" s="78">
        <f t="shared" ref="AAH161" si="824">G161</f>
        <v>41369</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6"/>
        <v>0</v>
      </c>
      <c r="AAF162" s="583" t="s">
        <v>185</v>
      </c>
      <c r="AAG162" s="63"/>
      <c r="AAH162" s="76" t="s">
        <v>0</v>
      </c>
      <c r="AAI162" s="77"/>
      <c r="AAJ162" s="77"/>
      <c r="AAK162" s="77"/>
      <c r="AAL162" s="56"/>
      <c r="AAM162" s="112"/>
      <c r="AAU162" s="44"/>
    </row>
    <row r="163" spans="1:723" s="23" customFormat="1" ht="15" hidden="1" customHeight="1" outlineLevel="2">
      <c r="A163" s="558"/>
      <c r="B163" s="387" t="s">
        <v>213</v>
      </c>
      <c r="C163" s="168"/>
      <c r="D163" s="169" t="s">
        <v>166</v>
      </c>
      <c r="E163" s="379">
        <f>NETWORKDAYS(G163,H163,S.DDL_DEQClosed)</f>
        <v>1</v>
      </c>
      <c r="F163" s="492">
        <f ca="1">NETWORKDAYS(TODAY(),H163)</f>
        <v>-67</v>
      </c>
      <c r="G163" s="381">
        <f>AAG163</f>
        <v>41369</v>
      </c>
      <c r="H163" s="382">
        <f>AAH163</f>
        <v>41369</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6"/>
        <v>0</v>
      </c>
      <c r="AAF163" s="112"/>
      <c r="AAG163" s="78">
        <f>H161</f>
        <v>41369</v>
      </c>
      <c r="AAH163" s="78">
        <f>G163</f>
        <v>41369</v>
      </c>
      <c r="AAI163" s="77"/>
      <c r="AAJ163" s="77"/>
      <c r="AAK163" s="77"/>
      <c r="AAL163" s="56"/>
      <c r="AAM163" s="112"/>
      <c r="AAU163" s="44"/>
    </row>
    <row r="164" spans="1:723" s="23" customFormat="1" ht="15" hidden="1" customHeight="1" outlineLevel="2">
      <c r="A164" s="558"/>
      <c r="B164" s="387" t="s">
        <v>56</v>
      </c>
      <c r="C164" s="168"/>
      <c r="D164" s="169" t="s">
        <v>374</v>
      </c>
      <c r="E164" s="379">
        <f t="shared" ref="E164:E166" si="825">NETWORKDAYS(G164,H164,S.DDL_DEQClosed)</f>
        <v>1</v>
      </c>
      <c r="F164" s="492">
        <f t="shared" ref="F164:F166" ca="1" si="826">NETWORKDAYS(TODAY(),H164)</f>
        <v>-67</v>
      </c>
      <c r="G164" s="381">
        <f t="shared" ref="G164:G166" si="827">AAG164</f>
        <v>41369</v>
      </c>
      <c r="H164" s="382">
        <f t="shared" ref="H164:H166" si="828">AAH164</f>
        <v>41369</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6"/>
        <v>0</v>
      </c>
      <c r="AAF164" s="112"/>
      <c r="AAG164" s="78">
        <f>H163</f>
        <v>41369</v>
      </c>
      <c r="AAH164" s="78">
        <f t="shared" ref="AAH164:AAH166" si="829">G164</f>
        <v>41369</v>
      </c>
      <c r="AAI164" s="77"/>
      <c r="AAJ164" s="77"/>
      <c r="AAK164" s="77"/>
      <c r="AAL164" s="56"/>
      <c r="AAM164" s="112"/>
      <c r="AAU164" s="44"/>
    </row>
    <row r="165" spans="1:723" s="23" customFormat="1" ht="15" hidden="1" customHeight="1" outlineLevel="2">
      <c r="A165" s="558"/>
      <c r="B165" s="404" t="str">
        <f ca="1">"Draft MINUTES."&amp;TEXT($G$147,"mm.dd.yy")&amp;""</f>
        <v>Draft MINUTES.07.08.13</v>
      </c>
      <c r="C165" s="231" t="s">
        <v>72</v>
      </c>
      <c r="D165" s="248" t="s">
        <v>158</v>
      </c>
      <c r="E165" s="379">
        <f t="shared" si="825"/>
        <v>1</v>
      </c>
      <c r="F165" s="492">
        <f t="shared" ca="1" si="826"/>
        <v>-67</v>
      </c>
      <c r="G165" s="381">
        <f t="shared" si="827"/>
        <v>41369</v>
      </c>
      <c r="H165" s="382">
        <f t="shared" si="828"/>
        <v>41369</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6"/>
        <v>0</v>
      </c>
      <c r="AAF165" s="112"/>
      <c r="AAG165" s="78">
        <f t="shared" ref="AAG165:AAG166" si="830">H164</f>
        <v>41369</v>
      </c>
      <c r="AAH165" s="78">
        <f t="shared" si="829"/>
        <v>41369</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374</v>
      </c>
      <c r="E166" s="379">
        <f t="shared" si="825"/>
        <v>1</v>
      </c>
      <c r="F166" s="492">
        <f t="shared" ca="1" si="826"/>
        <v>-67</v>
      </c>
      <c r="G166" s="381">
        <f t="shared" si="827"/>
        <v>41369</v>
      </c>
      <c r="H166" s="382">
        <f t="shared" si="828"/>
        <v>41369</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6"/>
        <v>0</v>
      </c>
      <c r="AAF166" s="112"/>
      <c r="AAG166" s="78">
        <f t="shared" si="830"/>
        <v>41369</v>
      </c>
      <c r="AAH166" s="78">
        <f t="shared" si="829"/>
        <v>41369</v>
      </c>
      <c r="AAI166" s="77"/>
      <c r="AAJ166" s="77"/>
      <c r="AAK166" s="77"/>
      <c r="AAL166" s="56"/>
      <c r="AAM166" s="112"/>
      <c r="AAU166" s="44"/>
    </row>
    <row r="167" spans="1:723" s="23" customFormat="1" ht="18" hidden="1" customHeight="1" outlineLevel="1" collapsed="1">
      <c r="A167" s="558"/>
      <c r="B167" s="244" t="s">
        <v>96</v>
      </c>
      <c r="C167" s="168"/>
      <c r="D167" s="770"/>
      <c r="E167" s="770"/>
      <c r="F167" s="770"/>
      <c r="G167" s="406">
        <f ca="1">TODAY()</f>
        <v>41463</v>
      </c>
      <c r="H167" s="406" t="s">
        <v>205</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6"/>
        <v>0</v>
      </c>
      <c r="AAF167" s="583" t="s">
        <v>185</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374</v>
      </c>
      <c r="E168" s="368">
        <f t="shared" ref="E168" si="831">NETWORKDAYS(G168,H168,S.DDL_DEQClosed)</f>
        <v>1</v>
      </c>
      <c r="F168" s="492">
        <f t="shared" ref="F168" ca="1" si="832">NETWORKDAYS(TODAY(),H168)</f>
        <v>-67</v>
      </c>
      <c r="G168" s="383">
        <f t="shared" ref="G168" si="833">AAG168</f>
        <v>41369</v>
      </c>
      <c r="H168" s="369">
        <f t="shared" ref="H168" si="834">AAH168</f>
        <v>41369</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6"/>
        <v>0</v>
      </c>
      <c r="AAF168" s="112"/>
      <c r="AAG168" s="78">
        <f>H165</f>
        <v>41369</v>
      </c>
      <c r="AAH168" s="78">
        <f t="shared" ref="AAH168" si="835">G168</f>
        <v>41369</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6"/>
        <v>0</v>
      </c>
      <c r="AAF169" s="583" t="s">
        <v>185</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AGENDA.07.08.13</v>
      </c>
      <c r="C170" s="231" t="s">
        <v>72</v>
      </c>
      <c r="D170" s="169" t="s">
        <v>57</v>
      </c>
      <c r="E170" s="368">
        <f t="shared" ref="E170:E174" si="836">NETWORKDAYS(G170,H170,S.DDL_DEQClosed)</f>
        <v>1</v>
      </c>
      <c r="F170" s="492">
        <f t="shared" ref="F170:F174" ca="1" si="837">NETWORKDAYS(TODAY(),H170)</f>
        <v>-67</v>
      </c>
      <c r="G170" s="383">
        <f t="shared" ref="G170:G174" si="838">AAG170</f>
        <v>41369</v>
      </c>
      <c r="H170" s="369">
        <f t="shared" ref="H170:H174" si="839">AAH170</f>
        <v>41369</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6"/>
        <v>0</v>
      </c>
      <c r="AAF170" s="112" t="s">
        <v>0</v>
      </c>
      <c r="AAG170" s="78">
        <f>H168</f>
        <v>41369</v>
      </c>
      <c r="AAH170" s="78">
        <f>G170</f>
        <v>41369</v>
      </c>
      <c r="AAI170" s="77"/>
      <c r="AAJ170" s="77"/>
      <c r="AAK170" s="77"/>
      <c r="AAL170" s="89" t="str">
        <f>"Draft "&amp;S.CodeName&amp;"AGENDA.mm.dd.yyyy.2.00"</f>
        <v>Draft AGENDA.mm.dd.yyyy.2.00</v>
      </c>
      <c r="AAM170" s="112"/>
      <c r="AAU170" s="44"/>
    </row>
    <row r="171" spans="1:723" s="23" customFormat="1" ht="15" hidden="1" customHeight="1" outlineLevel="2">
      <c r="A171" s="558"/>
      <c r="B171" s="391" t="s">
        <v>210</v>
      </c>
      <c r="C171" s="239"/>
      <c r="D171" s="169" t="s">
        <v>57</v>
      </c>
      <c r="E171" s="368">
        <f t="shared" si="836"/>
        <v>1</v>
      </c>
      <c r="F171" s="492">
        <f t="shared" ca="1" si="837"/>
        <v>-67</v>
      </c>
      <c r="G171" s="383">
        <f t="shared" si="838"/>
        <v>41369</v>
      </c>
      <c r="H171" s="369">
        <f t="shared" si="839"/>
        <v>41369</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6"/>
        <v>0</v>
      </c>
      <c r="AAF171" s="112" t="s">
        <v>0</v>
      </c>
      <c r="AAG171" s="78">
        <f>H170</f>
        <v>41369</v>
      </c>
      <c r="AAH171" s="78">
        <f t="shared" ref="AAH171:AAH174" si="840">G171</f>
        <v>41369</v>
      </c>
      <c r="AAI171" s="77"/>
      <c r="AAJ171" s="77"/>
      <c r="AAK171" s="77"/>
      <c r="AAL171" s="56"/>
      <c r="AAM171" s="112"/>
      <c r="AAU171" s="44"/>
    </row>
    <row r="172" spans="1:723" s="23" customFormat="1" ht="15" hidden="1" customHeight="1" outlineLevel="2">
      <c r="A172" s="558"/>
      <c r="B172" s="391" t="s">
        <v>210</v>
      </c>
      <c r="C172" s="239"/>
      <c r="D172" s="169" t="s">
        <v>57</v>
      </c>
      <c r="E172" s="368">
        <f t="shared" si="836"/>
        <v>1</v>
      </c>
      <c r="F172" s="492">
        <f t="shared" ca="1" si="837"/>
        <v>-67</v>
      </c>
      <c r="G172" s="383">
        <f t="shared" si="838"/>
        <v>41369</v>
      </c>
      <c r="H172" s="369">
        <f t="shared" si="839"/>
        <v>41369</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6"/>
        <v>0</v>
      </c>
      <c r="AAF172" s="112" t="s">
        <v>0</v>
      </c>
      <c r="AAG172" s="78">
        <f>H171</f>
        <v>41369</v>
      </c>
      <c r="AAH172" s="78">
        <f t="shared" si="840"/>
        <v>41369</v>
      </c>
      <c r="AAI172" s="77"/>
      <c r="AAJ172" s="77"/>
      <c r="AAK172" s="77"/>
      <c r="AAL172" s="56"/>
      <c r="AAM172" s="112"/>
      <c r="AAU172" s="44"/>
    </row>
    <row r="173" spans="1:723" s="23" customFormat="1" ht="15" hidden="1" customHeight="1" outlineLevel="2">
      <c r="A173" s="558"/>
      <c r="B173" s="391" t="s">
        <v>210</v>
      </c>
      <c r="C173" s="239"/>
      <c r="D173" s="169" t="s">
        <v>57</v>
      </c>
      <c r="E173" s="368">
        <f t="shared" si="836"/>
        <v>1</v>
      </c>
      <c r="F173" s="492">
        <f t="shared" ca="1" si="837"/>
        <v>-67</v>
      </c>
      <c r="G173" s="383">
        <f t="shared" si="838"/>
        <v>41369</v>
      </c>
      <c r="H173" s="369">
        <f t="shared" si="839"/>
        <v>41369</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6"/>
        <v>0</v>
      </c>
      <c r="AAF173" s="112" t="s">
        <v>0</v>
      </c>
      <c r="AAG173" s="78">
        <f>H172</f>
        <v>41369</v>
      </c>
      <c r="AAH173" s="78">
        <f t="shared" si="840"/>
        <v>41369</v>
      </c>
      <c r="AAI173" s="77"/>
      <c r="AAJ173" s="77"/>
      <c r="AAK173" s="77"/>
      <c r="AAL173" s="56"/>
      <c r="AAM173" s="112"/>
      <c r="AAU173" s="44"/>
    </row>
    <row r="174" spans="1:723" s="23" customFormat="1" ht="15" hidden="1" customHeight="1" outlineLevel="2">
      <c r="A174" s="558"/>
      <c r="B174" s="391" t="s">
        <v>210</v>
      </c>
      <c r="C174" s="239"/>
      <c r="D174" s="169" t="s">
        <v>57</v>
      </c>
      <c r="E174" s="368">
        <f t="shared" si="836"/>
        <v>1</v>
      </c>
      <c r="F174" s="492">
        <f t="shared" ca="1" si="837"/>
        <v>-67</v>
      </c>
      <c r="G174" s="383">
        <f t="shared" si="838"/>
        <v>41369</v>
      </c>
      <c r="H174" s="369">
        <f t="shared" si="839"/>
        <v>41369</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6"/>
        <v>0</v>
      </c>
      <c r="AAF174" s="112" t="s">
        <v>0</v>
      </c>
      <c r="AAG174" s="78">
        <f t="shared" ref="AAG174" si="841">H173</f>
        <v>41369</v>
      </c>
      <c r="AAH174" s="78">
        <f t="shared" si="840"/>
        <v>41369</v>
      </c>
      <c r="AAI174" s="77"/>
      <c r="AAJ174" s="77"/>
      <c r="AAK174" s="77"/>
      <c r="AAL174" s="56"/>
      <c r="AAM174" s="112"/>
      <c r="AAU174" s="44"/>
    </row>
    <row r="175" spans="1:723" s="23" customFormat="1" ht="15" hidden="1" customHeight="1" outlineLevel="2">
      <c r="A175" s="558"/>
      <c r="B175" s="392" t="s">
        <v>203</v>
      </c>
      <c r="C175" s="709"/>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6"/>
        <v>0</v>
      </c>
      <c r="AAF175" s="583" t="s">
        <v>185</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PRESENTATION.07.08.13</v>
      </c>
      <c r="C176" s="231" t="s">
        <v>72</v>
      </c>
      <c r="D176" s="169" t="s">
        <v>57</v>
      </c>
      <c r="E176" s="368">
        <f t="shared" ref="E176:E179" si="842">NETWORKDAYS(G176,H176,S.DDL_DEQClosed)</f>
        <v>1</v>
      </c>
      <c r="F176" s="492">
        <f t="shared" ref="F176:F179" ca="1" si="843">NETWORKDAYS(TODAY(),H176)</f>
        <v>-67</v>
      </c>
      <c r="G176" s="383">
        <f t="shared" ref="G176:G179" si="844">AAG176</f>
        <v>41369</v>
      </c>
      <c r="H176" s="369">
        <f t="shared" ref="H176:H179" si="845">AAH176</f>
        <v>41369</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6"/>
        <v>0</v>
      </c>
      <c r="AAF176" s="112" t="s">
        <v>0</v>
      </c>
      <c r="AAG176" s="78">
        <f>H174</f>
        <v>41369</v>
      </c>
      <c r="AAH176" s="78">
        <f t="shared" ref="AAH176:AAH179" si="846">G176</f>
        <v>41369</v>
      </c>
      <c r="AAI176" s="77"/>
      <c r="AAJ176" s="77"/>
      <c r="AAK176" s="77"/>
      <c r="AAL176" s="56"/>
      <c r="AAM176" s="112"/>
      <c r="AAU176" s="44"/>
    </row>
    <row r="177" spans="1:723" s="23" customFormat="1" ht="15" hidden="1" customHeight="1" outlineLevel="2">
      <c r="A177" s="558"/>
      <c r="B177" s="393" t="s">
        <v>214</v>
      </c>
      <c r="C177" s="239"/>
      <c r="D177" s="169" t="s">
        <v>57</v>
      </c>
      <c r="E177" s="368">
        <f t="shared" si="842"/>
        <v>1</v>
      </c>
      <c r="F177" s="492">
        <f t="shared" ca="1" si="843"/>
        <v>-67</v>
      </c>
      <c r="G177" s="383">
        <f t="shared" si="844"/>
        <v>41369</v>
      </c>
      <c r="H177" s="369">
        <f t="shared" si="845"/>
        <v>41369</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6"/>
        <v>0</v>
      </c>
      <c r="AAF177" s="112" t="s">
        <v>0</v>
      </c>
      <c r="AAG177" s="78">
        <f t="shared" ref="AAG177" si="847">H176</f>
        <v>41369</v>
      </c>
      <c r="AAH177" s="78">
        <f t="shared" si="846"/>
        <v>41369</v>
      </c>
      <c r="AAI177" s="77"/>
      <c r="AAJ177" s="77"/>
      <c r="AAK177" s="77"/>
      <c r="AAL177" s="56"/>
      <c r="AAM177" s="112"/>
      <c r="AAU177" s="44"/>
    </row>
    <row r="178" spans="1:723" s="23" customFormat="1" ht="15" hidden="1" customHeight="1" outlineLevel="2">
      <c r="A178" s="558"/>
      <c r="B178" s="393" t="s">
        <v>208</v>
      </c>
      <c r="C178" s="239"/>
      <c r="D178" s="169" t="s">
        <v>57</v>
      </c>
      <c r="E178" s="368">
        <f t="shared" si="842"/>
        <v>1</v>
      </c>
      <c r="F178" s="492">
        <f t="shared" ca="1" si="843"/>
        <v>-67</v>
      </c>
      <c r="G178" s="383">
        <f t="shared" si="844"/>
        <v>41369</v>
      </c>
      <c r="H178" s="369">
        <f t="shared" si="845"/>
        <v>41369</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6"/>
        <v>0</v>
      </c>
      <c r="AAF178" s="112" t="s">
        <v>0</v>
      </c>
      <c r="AAG178" s="78">
        <f>H177</f>
        <v>41369</v>
      </c>
      <c r="AAH178" s="78">
        <f t="shared" si="846"/>
        <v>41369</v>
      </c>
      <c r="AAI178" s="77"/>
      <c r="AAJ178" s="77"/>
      <c r="AAK178" s="77"/>
      <c r="AAL178" s="56"/>
      <c r="AAM178" s="112"/>
      <c r="AAU178" s="44"/>
    </row>
    <row r="179" spans="1:723" s="23" customFormat="1" ht="15" hidden="1" customHeight="1" outlineLevel="2">
      <c r="A179" s="558"/>
      <c r="B179" s="393" t="s">
        <v>209</v>
      </c>
      <c r="C179" s="239"/>
      <c r="D179" s="169" t="s">
        <v>57</v>
      </c>
      <c r="E179" s="368">
        <f t="shared" si="842"/>
        <v>1</v>
      </c>
      <c r="F179" s="492">
        <f t="shared" ca="1" si="843"/>
        <v>-67</v>
      </c>
      <c r="G179" s="383">
        <f t="shared" si="844"/>
        <v>41369</v>
      </c>
      <c r="H179" s="369">
        <f t="shared" si="845"/>
        <v>41369</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6"/>
        <v>0</v>
      </c>
      <c r="AAF179" s="112" t="s">
        <v>0</v>
      </c>
      <c r="AAG179" s="78">
        <f t="shared" ref="AAG179" si="848">H178</f>
        <v>41369</v>
      </c>
      <c r="AAH179" s="78">
        <f t="shared" si="846"/>
        <v>41369</v>
      </c>
      <c r="AAI179" s="77"/>
      <c r="AAJ179" s="77"/>
      <c r="AAK179" s="77"/>
      <c r="AAL179" s="56"/>
      <c r="AAM179" s="112"/>
      <c r="AAU179" s="44"/>
    </row>
    <row r="180" spans="1:723" s="23" customFormat="1" ht="15" hidden="1" customHeight="1" outlineLevel="2">
      <c r="A180" s="558"/>
      <c r="B180" s="394" t="s">
        <v>204</v>
      </c>
      <c r="C180" s="710"/>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6"/>
        <v>0</v>
      </c>
      <c r="AAF180" s="583" t="s">
        <v>185</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COMMITTEE.NOTICE.07.08.13</v>
      </c>
      <c r="C181" s="239"/>
      <c r="D181" s="169" t="s">
        <v>158</v>
      </c>
      <c r="E181" s="368">
        <f t="shared" ref="E181" si="849">NETWORKDAYS(G181,H181,S.DDL_DEQClosed)</f>
        <v>1</v>
      </c>
      <c r="F181" s="492">
        <f t="shared" ref="F181" ca="1" si="850">NETWORKDAYS(TODAY(),H181)</f>
        <v>-67</v>
      </c>
      <c r="G181" s="383">
        <f t="shared" ref="G181" si="851">AAG181</f>
        <v>41369</v>
      </c>
      <c r="H181" s="369">
        <f t="shared" ref="H181" si="852">AAH181</f>
        <v>41369</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3">IF(S.InvolveCommittee=TRUE,1,0)</f>
        <v>0</v>
      </c>
      <c r="AAF181" s="112" t="s">
        <v>0</v>
      </c>
      <c r="AAG181" s="78">
        <f>H179</f>
        <v>41369</v>
      </c>
      <c r="AAH181" s="78">
        <f t="shared" ref="AAH181" si="854">G181</f>
        <v>41369</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3"/>
        <v>0</v>
      </c>
      <c r="AAF182" s="583" t="s">
        <v>185</v>
      </c>
      <c r="AAG182" s="63"/>
      <c r="AAH182" s="76" t="s">
        <v>0</v>
      </c>
      <c r="AAI182" s="77"/>
      <c r="AAJ182" s="77"/>
      <c r="AAK182" s="77"/>
      <c r="AAL182" s="56"/>
      <c r="AAM182" s="112"/>
      <c r="AAU182" s="44"/>
    </row>
    <row r="183" spans="1:723" s="23" customFormat="1" ht="15" hidden="1" customHeight="1" outlineLevel="2">
      <c r="A183" s="558"/>
      <c r="B183" s="387" t="s">
        <v>213</v>
      </c>
      <c r="C183" s="168"/>
      <c r="D183" s="169" t="s">
        <v>166</v>
      </c>
      <c r="E183" s="368">
        <f>NETWORKDAYS(G183,H183,S.DDL_DEQClosed)</f>
        <v>1</v>
      </c>
      <c r="F183" s="492">
        <f ca="1">NETWORKDAYS(TODAY(),H183)</f>
        <v>-67</v>
      </c>
      <c r="G183" s="383">
        <f>AAG183</f>
        <v>41369</v>
      </c>
      <c r="H183" s="369">
        <f>AAH183</f>
        <v>41369</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3"/>
        <v>0</v>
      </c>
      <c r="AAF183" s="112"/>
      <c r="AAG183" s="78">
        <f>H181</f>
        <v>41369</v>
      </c>
      <c r="AAH183" s="78">
        <f>G183</f>
        <v>41369</v>
      </c>
      <c r="AAI183" s="77"/>
      <c r="AAJ183" s="77"/>
      <c r="AAK183" s="77"/>
      <c r="AAL183" s="56"/>
      <c r="AAM183" s="112"/>
      <c r="AAU183" s="44"/>
    </row>
    <row r="184" spans="1:723" s="23" customFormat="1" ht="15" hidden="1" customHeight="1" outlineLevel="2">
      <c r="A184" s="558"/>
      <c r="B184" s="387" t="s">
        <v>56</v>
      </c>
      <c r="C184" s="168"/>
      <c r="D184" s="169" t="s">
        <v>374</v>
      </c>
      <c r="E184" s="368">
        <f t="shared" ref="E184:E186" si="855">NETWORKDAYS(G184,H184,S.DDL_DEQClosed)</f>
        <v>1</v>
      </c>
      <c r="F184" s="492">
        <f t="shared" ref="F184:F186" ca="1" si="856">NETWORKDAYS(TODAY(),H184)</f>
        <v>-67</v>
      </c>
      <c r="G184" s="383">
        <f t="shared" ref="G184:G186" si="857">AAG184</f>
        <v>41369</v>
      </c>
      <c r="H184" s="369">
        <f t="shared" ref="H184:H186" si="858">AAH184</f>
        <v>41369</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3"/>
        <v>0</v>
      </c>
      <c r="AAF184" s="112"/>
      <c r="AAG184" s="78">
        <f>H183</f>
        <v>41369</v>
      </c>
      <c r="AAH184" s="78">
        <f t="shared" ref="AAH184:AAH186" si="859">G184</f>
        <v>41369</v>
      </c>
      <c r="AAI184" s="77"/>
      <c r="AAJ184" s="77"/>
      <c r="AAK184" s="77"/>
      <c r="AAL184" s="56"/>
      <c r="AAM184" s="112"/>
      <c r="AAU184" s="44"/>
    </row>
    <row r="185" spans="1:723" s="23" customFormat="1" ht="15" hidden="1" customHeight="1" outlineLevel="2">
      <c r="A185" s="558"/>
      <c r="B185" s="404" t="str">
        <f ca="1">"Draft MINUTES."&amp;TEXT($G$167,"mm.dd.yy")&amp;""</f>
        <v>Draft MINUTES.07.08.13</v>
      </c>
      <c r="C185" s="231" t="s">
        <v>72</v>
      </c>
      <c r="D185" s="248" t="s">
        <v>158</v>
      </c>
      <c r="E185" s="368">
        <f t="shared" si="855"/>
        <v>1</v>
      </c>
      <c r="F185" s="492">
        <f t="shared" ca="1" si="856"/>
        <v>-67</v>
      </c>
      <c r="G185" s="383">
        <f t="shared" si="857"/>
        <v>41369</v>
      </c>
      <c r="H185" s="369">
        <f t="shared" si="858"/>
        <v>41369</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3"/>
        <v>0</v>
      </c>
      <c r="AAF185" s="112"/>
      <c r="AAG185" s="78">
        <f t="shared" ref="AAG185:AAG186" si="860">H184</f>
        <v>41369</v>
      </c>
      <c r="AAH185" s="78">
        <f t="shared" si="859"/>
        <v>41369</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374</v>
      </c>
      <c r="E186" s="368">
        <f t="shared" si="855"/>
        <v>1</v>
      </c>
      <c r="F186" s="492">
        <f t="shared" ca="1" si="856"/>
        <v>-67</v>
      </c>
      <c r="G186" s="383">
        <f t="shared" si="857"/>
        <v>41369</v>
      </c>
      <c r="H186" s="369">
        <f t="shared" si="858"/>
        <v>41369</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3"/>
        <v>0</v>
      </c>
      <c r="AAF186" s="112"/>
      <c r="AAG186" s="78">
        <f t="shared" si="860"/>
        <v>41369</v>
      </c>
      <c r="AAH186" s="78">
        <f t="shared" si="859"/>
        <v>41369</v>
      </c>
      <c r="AAI186" s="77"/>
      <c r="AAJ186" s="77"/>
      <c r="AAK186" s="77"/>
      <c r="AAL186" s="56"/>
      <c r="AAM186" s="112"/>
      <c r="AAU186" s="44"/>
    </row>
    <row r="187" spans="1:723" s="23" customFormat="1" ht="18" hidden="1" customHeight="1" outlineLevel="1" collapsed="1">
      <c r="A187" s="558"/>
      <c r="B187" s="244" t="s">
        <v>154</v>
      </c>
      <c r="C187" s="168"/>
      <c r="D187" s="770"/>
      <c r="E187" s="770"/>
      <c r="F187" s="770"/>
      <c r="G187" s="406">
        <f ca="1">TODAY()</f>
        <v>41463</v>
      </c>
      <c r="H187" s="406" t="s">
        <v>205</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3"/>
        <v>0</v>
      </c>
      <c r="AAF187" s="583" t="s">
        <v>185</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374</v>
      </c>
      <c r="E188" s="368">
        <f t="shared" ref="E188" si="861">NETWORKDAYS(G188,H188,S.DDL_DEQClosed)</f>
        <v>1</v>
      </c>
      <c r="F188" s="492">
        <f t="shared" ref="F188" ca="1" si="862">NETWORKDAYS(TODAY(),H188)</f>
        <v>-67</v>
      </c>
      <c r="G188" s="383">
        <f t="shared" ref="G188" si="863">AAG188</f>
        <v>41369</v>
      </c>
      <c r="H188" s="369">
        <f t="shared" ref="H188" si="864">AAH188</f>
        <v>41369</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3"/>
        <v>0</v>
      </c>
      <c r="AAF188" s="112"/>
      <c r="AAG188" s="78">
        <f>H185</f>
        <v>41369</v>
      </c>
      <c r="AAH188" s="78">
        <f t="shared" ref="AAH188" si="865">G188</f>
        <v>41369</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3"/>
        <v>0</v>
      </c>
      <c r="AAF189" s="583" t="s">
        <v>185</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AGENDA.07.08.13</v>
      </c>
      <c r="C190" s="231" t="s">
        <v>72</v>
      </c>
      <c r="D190" s="308" t="s">
        <v>57</v>
      </c>
      <c r="E190" s="368">
        <f t="shared" ref="E190:E194" si="866">NETWORKDAYS(G190,H190,S.DDL_DEQClosed)</f>
        <v>1</v>
      </c>
      <c r="F190" s="492">
        <f t="shared" ref="F190:F194" ca="1" si="867">NETWORKDAYS(TODAY(),H190)</f>
        <v>-67</v>
      </c>
      <c r="G190" s="383">
        <f>AAG190</f>
        <v>41369</v>
      </c>
      <c r="H190" s="369">
        <f t="shared" ref="H190:H194" si="868">AAH190</f>
        <v>41369</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3"/>
        <v>0</v>
      </c>
      <c r="AAF190" s="112" t="s">
        <v>0</v>
      </c>
      <c r="AAG190" s="78">
        <f>H188</f>
        <v>41369</v>
      </c>
      <c r="AAH190" s="78">
        <f>G190</f>
        <v>41369</v>
      </c>
      <c r="AAI190" s="77"/>
      <c r="AAJ190" s="77"/>
      <c r="AAK190" s="77"/>
      <c r="AAL190" s="89" t="str">
        <f>"Draft "&amp;S.CodeName&amp;"AGENDA.mm.dd.yyyy.2.00"</f>
        <v>Draft AGENDA.mm.dd.yyyy.2.00</v>
      </c>
      <c r="AAM190" s="112"/>
      <c r="AAU190" s="44"/>
    </row>
    <row r="191" spans="1:723" s="23" customFormat="1" ht="15" hidden="1" customHeight="1" outlineLevel="2">
      <c r="A191" s="558"/>
      <c r="B191" s="391" t="s">
        <v>210</v>
      </c>
      <c r="C191" s="239"/>
      <c r="D191" s="308" t="s">
        <v>57</v>
      </c>
      <c r="E191" s="368">
        <f t="shared" si="866"/>
        <v>1</v>
      </c>
      <c r="F191" s="492">
        <f t="shared" ca="1" si="867"/>
        <v>-67</v>
      </c>
      <c r="G191" s="383">
        <f t="shared" ref="G191:G194" si="869">AAG191</f>
        <v>41369</v>
      </c>
      <c r="H191" s="369">
        <f t="shared" si="868"/>
        <v>41369</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3"/>
        <v>0</v>
      </c>
      <c r="AAF191" s="112" t="s">
        <v>0</v>
      </c>
      <c r="AAG191" s="78">
        <f>H190</f>
        <v>41369</v>
      </c>
      <c r="AAH191" s="78">
        <f t="shared" ref="AAH191:AAH194" si="870">G191</f>
        <v>41369</v>
      </c>
      <c r="AAI191" s="77"/>
      <c r="AAJ191" s="77"/>
      <c r="AAK191" s="77"/>
      <c r="AAL191" s="56"/>
      <c r="AAM191" s="112"/>
      <c r="AAU191" s="44"/>
    </row>
    <row r="192" spans="1:723" s="23" customFormat="1" ht="15" hidden="1" customHeight="1" outlineLevel="2">
      <c r="A192" s="558"/>
      <c r="B192" s="391" t="s">
        <v>210</v>
      </c>
      <c r="C192" s="239"/>
      <c r="D192" s="308" t="s">
        <v>57</v>
      </c>
      <c r="E192" s="368">
        <f t="shared" si="866"/>
        <v>1</v>
      </c>
      <c r="F192" s="492">
        <f t="shared" ca="1" si="867"/>
        <v>-67</v>
      </c>
      <c r="G192" s="383">
        <f t="shared" si="869"/>
        <v>41369</v>
      </c>
      <c r="H192" s="369">
        <f t="shared" si="868"/>
        <v>41369</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3"/>
        <v>0</v>
      </c>
      <c r="AAF192" s="112" t="s">
        <v>0</v>
      </c>
      <c r="AAG192" s="78">
        <f>H191</f>
        <v>41369</v>
      </c>
      <c r="AAH192" s="78">
        <f t="shared" si="870"/>
        <v>41369</v>
      </c>
      <c r="AAI192" s="77"/>
      <c r="AAJ192" s="77"/>
      <c r="AAK192" s="77"/>
      <c r="AAL192" s="56"/>
      <c r="AAM192" s="112"/>
      <c r="AAU192" s="44"/>
    </row>
    <row r="193" spans="1:732" s="23" customFormat="1" ht="15" hidden="1" customHeight="1" outlineLevel="2">
      <c r="A193" s="558"/>
      <c r="B193" s="391" t="s">
        <v>210</v>
      </c>
      <c r="C193" s="239"/>
      <c r="D193" s="308" t="s">
        <v>57</v>
      </c>
      <c r="E193" s="368">
        <f t="shared" si="866"/>
        <v>1</v>
      </c>
      <c r="F193" s="492">
        <f t="shared" ca="1" si="867"/>
        <v>-67</v>
      </c>
      <c r="G193" s="383">
        <f t="shared" si="869"/>
        <v>41369</v>
      </c>
      <c r="H193" s="369">
        <f t="shared" si="868"/>
        <v>41369</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3"/>
        <v>0</v>
      </c>
      <c r="AAF193" s="112" t="s">
        <v>0</v>
      </c>
      <c r="AAG193" s="78">
        <f>H192</f>
        <v>41369</v>
      </c>
      <c r="AAH193" s="78">
        <f t="shared" si="870"/>
        <v>41369</v>
      </c>
      <c r="AAI193" s="77"/>
      <c r="AAJ193" s="77"/>
      <c r="AAK193" s="77"/>
      <c r="AAL193" s="56"/>
      <c r="AAM193" s="112"/>
      <c r="AAU193" s="44"/>
    </row>
    <row r="194" spans="1:732" s="23" customFormat="1" ht="15" hidden="1" customHeight="1" outlineLevel="2">
      <c r="A194" s="558"/>
      <c r="B194" s="391" t="s">
        <v>210</v>
      </c>
      <c r="C194" s="239"/>
      <c r="D194" s="308" t="s">
        <v>57</v>
      </c>
      <c r="E194" s="368">
        <f t="shared" si="866"/>
        <v>1</v>
      </c>
      <c r="F194" s="492">
        <f t="shared" ca="1" si="867"/>
        <v>-67</v>
      </c>
      <c r="G194" s="383">
        <f t="shared" si="869"/>
        <v>41369</v>
      </c>
      <c r="H194" s="369">
        <f t="shared" si="868"/>
        <v>41369</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3"/>
        <v>0</v>
      </c>
      <c r="AAF194" s="112" t="s">
        <v>0</v>
      </c>
      <c r="AAG194" s="78">
        <f t="shared" ref="AAG194" si="871">H193</f>
        <v>41369</v>
      </c>
      <c r="AAH194" s="78">
        <f t="shared" si="870"/>
        <v>41369</v>
      </c>
      <c r="AAI194" s="77"/>
      <c r="AAJ194" s="77"/>
      <c r="AAK194" s="77"/>
      <c r="AAL194" s="56"/>
      <c r="AAM194" s="112"/>
      <c r="AAU194" s="44"/>
    </row>
    <row r="195" spans="1:732" s="23" customFormat="1" ht="15" hidden="1" customHeight="1" outlineLevel="2">
      <c r="A195" s="558"/>
      <c r="B195" s="392" t="s">
        <v>203</v>
      </c>
      <c r="C195" s="709"/>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3"/>
        <v>0</v>
      </c>
      <c r="AAF195" s="583" t="s">
        <v>185</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PRESENTATION.07.08.13</v>
      </c>
      <c r="C196" s="231" t="s">
        <v>72</v>
      </c>
      <c r="D196" s="308" t="s">
        <v>57</v>
      </c>
      <c r="E196" s="368">
        <f t="shared" ref="E196:E199" si="872">NETWORKDAYS(G196,H196,S.DDL_DEQClosed)</f>
        <v>1</v>
      </c>
      <c r="F196" s="492">
        <f t="shared" ref="F196:F199" ca="1" si="873">NETWORKDAYS(TODAY(),H196)</f>
        <v>-67</v>
      </c>
      <c r="G196" s="383">
        <f t="shared" ref="G196:G199" si="874">AAG196</f>
        <v>41369</v>
      </c>
      <c r="H196" s="369">
        <f t="shared" ref="H196:H199" si="875">AAH196</f>
        <v>41369</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3"/>
        <v>0</v>
      </c>
      <c r="AAF196" s="112" t="s">
        <v>0</v>
      </c>
      <c r="AAG196" s="78">
        <f>H194</f>
        <v>41369</v>
      </c>
      <c r="AAH196" s="78">
        <f t="shared" ref="AAH196:AAH199" si="876">G196</f>
        <v>41369</v>
      </c>
      <c r="AAI196" s="77"/>
      <c r="AAJ196" s="77"/>
      <c r="AAK196" s="77"/>
      <c r="AAL196" s="56"/>
      <c r="AAM196" s="112"/>
      <c r="AAU196" s="44"/>
    </row>
    <row r="197" spans="1:732" s="23" customFormat="1" ht="15" hidden="1" customHeight="1" outlineLevel="2">
      <c r="A197" s="558"/>
      <c r="B197" s="393" t="s">
        <v>214</v>
      </c>
      <c r="C197" s="239"/>
      <c r="D197" s="308" t="s">
        <v>57</v>
      </c>
      <c r="E197" s="368">
        <f t="shared" si="872"/>
        <v>1</v>
      </c>
      <c r="F197" s="492">
        <f t="shared" ca="1" si="873"/>
        <v>-67</v>
      </c>
      <c r="G197" s="383">
        <f t="shared" si="874"/>
        <v>41369</v>
      </c>
      <c r="H197" s="369">
        <f t="shared" si="875"/>
        <v>41369</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3"/>
        <v>0</v>
      </c>
      <c r="AAF197" s="112" t="s">
        <v>0</v>
      </c>
      <c r="AAG197" s="78">
        <f t="shared" ref="AAG197" si="877">H196</f>
        <v>41369</v>
      </c>
      <c r="AAH197" s="78">
        <f t="shared" si="876"/>
        <v>41369</v>
      </c>
      <c r="AAI197" s="77"/>
      <c r="AAJ197" s="77"/>
      <c r="AAK197" s="77"/>
      <c r="AAL197" s="56"/>
      <c r="AAM197" s="112"/>
      <c r="AAU197" s="44"/>
    </row>
    <row r="198" spans="1:732" s="23" customFormat="1" ht="15" hidden="1" customHeight="1" outlineLevel="2">
      <c r="A198" s="558"/>
      <c r="B198" s="393" t="s">
        <v>208</v>
      </c>
      <c r="C198" s="239"/>
      <c r="D198" s="308" t="s">
        <v>57</v>
      </c>
      <c r="E198" s="368">
        <f t="shared" si="872"/>
        <v>1</v>
      </c>
      <c r="F198" s="492">
        <f t="shared" ca="1" si="873"/>
        <v>-67</v>
      </c>
      <c r="G198" s="383">
        <f t="shared" si="874"/>
        <v>41369</v>
      </c>
      <c r="H198" s="369">
        <f t="shared" si="875"/>
        <v>41369</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3"/>
        <v>0</v>
      </c>
      <c r="AAF198" s="112" t="s">
        <v>0</v>
      </c>
      <c r="AAG198" s="78">
        <f>H197</f>
        <v>41369</v>
      </c>
      <c r="AAH198" s="78">
        <f t="shared" si="876"/>
        <v>41369</v>
      </c>
      <c r="AAI198" s="77"/>
      <c r="AAJ198" s="77"/>
      <c r="AAK198" s="77"/>
      <c r="AAL198" s="56"/>
      <c r="AAM198" s="112"/>
      <c r="AAU198" s="44"/>
    </row>
    <row r="199" spans="1:732" s="23" customFormat="1" ht="15" hidden="1" customHeight="1" outlineLevel="2">
      <c r="A199" s="558"/>
      <c r="B199" s="393" t="s">
        <v>209</v>
      </c>
      <c r="C199" s="239"/>
      <c r="D199" s="308" t="s">
        <v>57</v>
      </c>
      <c r="E199" s="368">
        <f t="shared" si="872"/>
        <v>1</v>
      </c>
      <c r="F199" s="492">
        <f t="shared" ca="1" si="873"/>
        <v>-67</v>
      </c>
      <c r="G199" s="383">
        <f t="shared" si="874"/>
        <v>41369</v>
      </c>
      <c r="H199" s="369">
        <f t="shared" si="875"/>
        <v>41369</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3"/>
        <v>0</v>
      </c>
      <c r="AAF199" s="112" t="s">
        <v>0</v>
      </c>
      <c r="AAG199" s="78">
        <f t="shared" ref="AAG199" si="878">H198</f>
        <v>41369</v>
      </c>
      <c r="AAH199" s="78">
        <f t="shared" si="876"/>
        <v>41369</v>
      </c>
      <c r="AAI199" s="77"/>
      <c r="AAJ199" s="77"/>
      <c r="AAK199" s="77"/>
      <c r="AAL199" s="56"/>
      <c r="AAM199" s="112"/>
      <c r="AAU199" s="44"/>
    </row>
    <row r="200" spans="1:732" s="23" customFormat="1" ht="15" hidden="1" customHeight="1" outlineLevel="2">
      <c r="A200" s="558"/>
      <c r="B200" s="394" t="s">
        <v>204</v>
      </c>
      <c r="C200" s="710"/>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3"/>
        <v>0</v>
      </c>
      <c r="AAF200" s="583" t="s">
        <v>185</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COMMITTEE.NOTICE.07.08.13</v>
      </c>
      <c r="C201" s="239"/>
      <c r="D201" s="308" t="s">
        <v>158</v>
      </c>
      <c r="E201" s="368">
        <f t="shared" ref="E201" si="879">NETWORKDAYS(G201,H201,S.DDL_DEQClosed)</f>
        <v>1</v>
      </c>
      <c r="F201" s="492">
        <f t="shared" ref="F201" ca="1" si="880">NETWORKDAYS(TODAY(),H201)</f>
        <v>-67</v>
      </c>
      <c r="G201" s="383">
        <f t="shared" ref="G201" si="881">AAG201</f>
        <v>41369</v>
      </c>
      <c r="H201" s="369">
        <f t="shared" ref="H201" si="882">AAH201</f>
        <v>41369</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3"/>
        <v>0</v>
      </c>
      <c r="AAF201" s="112" t="s">
        <v>0</v>
      </c>
      <c r="AAG201" s="78">
        <f>H199</f>
        <v>41369</v>
      </c>
      <c r="AAH201" s="78">
        <f t="shared" ref="AAH201" si="883">G201</f>
        <v>41369</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3"/>
        <v>0</v>
      </c>
      <c r="AAF202" s="583" t="s">
        <v>185</v>
      </c>
      <c r="AAG202" s="63"/>
      <c r="AAH202" s="76" t="s">
        <v>0</v>
      </c>
      <c r="AAI202" s="77"/>
      <c r="AAJ202" s="77"/>
      <c r="AAK202" s="77"/>
      <c r="AAL202" s="56"/>
      <c r="AAM202" s="112"/>
      <c r="AAU202" s="44"/>
    </row>
    <row r="203" spans="1:732" s="23" customFormat="1" ht="15" hidden="1" customHeight="1" outlineLevel="2">
      <c r="A203" s="558"/>
      <c r="B203" s="387" t="s">
        <v>213</v>
      </c>
      <c r="C203" s="168"/>
      <c r="D203" s="308" t="s">
        <v>166</v>
      </c>
      <c r="E203" s="368">
        <f>NETWORKDAYS(G203,H203,S.DDL_DEQClosed)</f>
        <v>1</v>
      </c>
      <c r="F203" s="492">
        <f ca="1">NETWORKDAYS(TODAY(),H203)</f>
        <v>-67</v>
      </c>
      <c r="G203" s="383">
        <f>AAG203</f>
        <v>41369</v>
      </c>
      <c r="H203" s="369">
        <f>AAH203</f>
        <v>41369</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3"/>
        <v>0</v>
      </c>
      <c r="AAF203" s="112"/>
      <c r="AAG203" s="78">
        <f>H201</f>
        <v>41369</v>
      </c>
      <c r="AAH203" s="78">
        <f>G203</f>
        <v>41369</v>
      </c>
      <c r="AAI203" s="77"/>
      <c r="AAJ203" s="77"/>
      <c r="AAK203" s="77"/>
      <c r="AAL203" s="56"/>
      <c r="AAM203" s="112"/>
      <c r="AAU203" s="44"/>
    </row>
    <row r="204" spans="1:732" s="23" customFormat="1" ht="15" hidden="1" customHeight="1" outlineLevel="2">
      <c r="A204" s="558"/>
      <c r="B204" s="387" t="s">
        <v>56</v>
      </c>
      <c r="C204" s="168"/>
      <c r="D204" s="308" t="s">
        <v>374</v>
      </c>
      <c r="E204" s="368">
        <f t="shared" ref="E204:E206" si="884">NETWORKDAYS(G204,H204,S.DDL_DEQClosed)</f>
        <v>1</v>
      </c>
      <c r="F204" s="492">
        <f t="shared" ref="F204:F206" ca="1" si="885">NETWORKDAYS(TODAY(),H204)</f>
        <v>-67</v>
      </c>
      <c r="G204" s="383">
        <f t="shared" ref="G204:G206" si="886">AAG204</f>
        <v>41369</v>
      </c>
      <c r="H204" s="369">
        <f t="shared" ref="H204:H206" si="887">AAH204</f>
        <v>41369</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3"/>
        <v>0</v>
      </c>
      <c r="AAF204" s="112"/>
      <c r="AAG204" s="78">
        <f>H203</f>
        <v>41369</v>
      </c>
      <c r="AAH204" s="78">
        <f t="shared" ref="AAH204:AAH206" si="888">G204</f>
        <v>41369</v>
      </c>
      <c r="AAI204" s="77"/>
      <c r="AAJ204" s="77"/>
      <c r="AAK204" s="77"/>
      <c r="AAL204" s="56"/>
      <c r="AAM204" s="112"/>
      <c r="AAU204" s="44"/>
    </row>
    <row r="205" spans="1:732" s="23" customFormat="1" ht="15" hidden="1" customHeight="1" outlineLevel="2">
      <c r="A205" s="558"/>
      <c r="B205" s="404" t="str">
        <f ca="1">"Draft MINUTES."&amp;TEXT($G$187,"mm.dd.yy")&amp;""</f>
        <v>Draft MINUTES.07.08.13</v>
      </c>
      <c r="C205" s="231" t="s">
        <v>72</v>
      </c>
      <c r="D205" s="278" t="s">
        <v>158</v>
      </c>
      <c r="E205" s="368">
        <f t="shared" si="884"/>
        <v>1</v>
      </c>
      <c r="F205" s="492">
        <f t="shared" ca="1" si="885"/>
        <v>-67</v>
      </c>
      <c r="G205" s="383">
        <f t="shared" si="886"/>
        <v>41369</v>
      </c>
      <c r="H205" s="369">
        <f t="shared" si="887"/>
        <v>41369</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3"/>
        <v>0</v>
      </c>
      <c r="AAF205" s="112"/>
      <c r="AAG205" s="78">
        <f t="shared" ref="AAG205:AAG206" si="889">H204</f>
        <v>41369</v>
      </c>
      <c r="AAH205" s="78">
        <f t="shared" si="888"/>
        <v>41369</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374</v>
      </c>
      <c r="E206" s="368">
        <f t="shared" si="884"/>
        <v>1</v>
      </c>
      <c r="F206" s="492">
        <f t="shared" ca="1" si="885"/>
        <v>-67</v>
      </c>
      <c r="G206" s="383">
        <f t="shared" si="886"/>
        <v>41369</v>
      </c>
      <c r="H206" s="369">
        <f t="shared" si="887"/>
        <v>41369</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3"/>
        <v>0</v>
      </c>
      <c r="AAF206" s="112"/>
      <c r="AAG206" s="78">
        <f t="shared" si="889"/>
        <v>41369</v>
      </c>
      <c r="AAH206" s="78">
        <f t="shared" si="888"/>
        <v>41369</v>
      </c>
      <c r="AAI206" s="77"/>
      <c r="AAJ206" s="77"/>
      <c r="AAK206" s="77"/>
      <c r="AAL206" s="56"/>
      <c r="AAM206" s="112"/>
      <c r="AAU206" s="44"/>
      <c r="AAV206"/>
      <c r="AAW206"/>
      <c r="AAX206"/>
      <c r="AAY206"/>
      <c r="AAZ206"/>
      <c r="ABA206"/>
      <c r="ABB206"/>
      <c r="ABC206"/>
      <c r="ABD206"/>
    </row>
    <row r="207" spans="1:732" s="23" customFormat="1" ht="15" hidden="1"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185</v>
      </c>
      <c r="AAG207" s="63"/>
      <c r="AAH207" s="63"/>
      <c r="AAI207" s="77"/>
      <c r="AAJ207" s="77"/>
      <c r="AAK207" s="77"/>
      <c r="AAL207" s="56"/>
      <c r="AAM207" s="112"/>
      <c r="AAU207" s="44"/>
      <c r="AAV207"/>
      <c r="AAW207"/>
      <c r="AAX207"/>
      <c r="AAY207"/>
      <c r="AAZ207"/>
      <c r="ABA207"/>
      <c r="ABB207"/>
      <c r="ABC207"/>
      <c r="ABD207"/>
    </row>
    <row r="208" spans="1:732" ht="6" customHeight="1" collapsed="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185</v>
      </c>
      <c r="AAG208" s="63"/>
      <c r="AAH208" s="63"/>
      <c r="AAI208" s="77"/>
      <c r="AAJ208" s="77"/>
      <c r="AAK208" s="77"/>
      <c r="AAL208" s="56"/>
      <c r="AAM208" s="112"/>
      <c r="AAN208"/>
      <c r="AAT208" s="23"/>
      <c r="AAU208" s="44"/>
    </row>
    <row r="209" spans="1:732" s="23" customFormat="1" ht="18" customHeight="1">
      <c r="A209" s="558"/>
      <c r="B209" s="769" t="str">
        <f>AAL209</f>
        <v>3-Fees Not Involved</v>
      </c>
      <c r="C209" s="769"/>
      <c r="D209" s="769"/>
      <c r="E209" s="769"/>
      <c r="F209" s="769"/>
      <c r="G209" s="769"/>
      <c r="H209" s="769"/>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185</v>
      </c>
      <c r="AAG209" s="112"/>
      <c r="AAH209" s="112"/>
      <c r="AAI209" s="77"/>
      <c r="AAJ209" s="90"/>
      <c r="AAK209" s="90"/>
      <c r="AAL209" s="657" t="str">
        <f>AAL21</f>
        <v>3-Fees Not Involved</v>
      </c>
      <c r="AAM209" s="112"/>
      <c r="AAU209" s="44"/>
    </row>
    <row r="210" spans="1:732" s="23" customFormat="1" ht="18" customHeight="1">
      <c r="A210" s="558"/>
      <c r="B210" s="222" t="s">
        <v>15</v>
      </c>
      <c r="C210" s="703"/>
      <c r="D210" s="150" t="s">
        <v>254</v>
      </c>
      <c r="E210" s="151" t="s">
        <v>15</v>
      </c>
      <c r="F210" s="235" t="s">
        <v>2</v>
      </c>
      <c r="G210" s="152" t="s">
        <v>261</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258</v>
      </c>
      <c r="AAF210" s="583" t="s">
        <v>185</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71</v>
      </c>
      <c r="G211" s="314">
        <f>AAG211</f>
        <v>41369</v>
      </c>
      <c r="H211" s="253">
        <f>AAH211</f>
        <v>41473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258</v>
      </c>
      <c r="AAF211" s="583" t="s">
        <v>185</v>
      </c>
      <c r="AAG211" s="78">
        <f>G21</f>
        <v>41369</v>
      </c>
      <c r="AAH211" s="78">
        <f>WORKDAY(S.SubmitNoticeToSOS+2,1,S.DDL_DEQClosed)</f>
        <v>41473</v>
      </c>
      <c r="AAI211" s="77"/>
      <c r="AAJ211" s="77"/>
      <c r="AAK211" s="77"/>
      <c r="AAL211" s="79"/>
      <c r="AAM211" s="112"/>
      <c r="AAN211"/>
      <c r="AAT211" s="23"/>
      <c r="AAU211" s="44"/>
    </row>
    <row r="212" spans="1:732" ht="6" customHeight="1">
      <c r="A212" s="558"/>
      <c r="B212" s="206"/>
      <c r="C212" s="688"/>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185</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hidden="1" outlineLevel="1">
      <c r="A213" s="558"/>
      <c r="B213" s="254" t="s">
        <v>144</v>
      </c>
      <c r="C213" s="168"/>
      <c r="D213" s="498" t="s">
        <v>374</v>
      </c>
      <c r="E213" s="491">
        <f>NETWORKDAYS(G213,H213,S.DDL_DEQClosed)</f>
        <v>1</v>
      </c>
      <c r="F213" s="372">
        <f ca="1">NETWORKDAYS(TODAY(),H213)</f>
        <v>-67</v>
      </c>
      <c r="G213" s="369">
        <f>AAG213</f>
        <v>41369</v>
      </c>
      <c r="H213" s="369">
        <f>AAH213</f>
        <v>41369</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0</v>
      </c>
      <c r="AAF213" s="112" t="s">
        <v>0</v>
      </c>
      <c r="AAG213" s="78">
        <f>S.BANNER.FeeStart</f>
        <v>41369</v>
      </c>
      <c r="AAH213" s="78">
        <f>G213</f>
        <v>41369</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hidden="1" customHeight="1" outlineLevel="1">
      <c r="A214" s="558"/>
      <c r="B214" s="532" t="str">
        <f>AAL214</f>
        <v>No DAS involvement</v>
      </c>
      <c r="C214" s="531"/>
      <c r="D214" s="498" t="s">
        <v>374</v>
      </c>
      <c r="E214" s="491">
        <f t="shared" ref="E214" si="890">NETWORKDAYS(G214,H214,S.DDL_DEQClosed)</f>
        <v>68</v>
      </c>
      <c r="F214" s="372">
        <f ca="1">NETWORKDAYS(TODAY(),H214)</f>
        <v>6</v>
      </c>
      <c r="G214" s="369">
        <f>AAG214</f>
        <v>41369</v>
      </c>
      <c r="H214" s="369">
        <f>AAH214</f>
        <v>41470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185</v>
      </c>
      <c r="AAG214" s="78">
        <f>S.BANNER.FeeStart</f>
        <v>41369</v>
      </c>
      <c r="AAH214" s="78">
        <f>S.SubmitNoticeToSOS</f>
        <v>41470</v>
      </c>
      <c r="AAI214" s="77"/>
      <c r="AAJ214" s="77"/>
      <c r="AAK214" s="77"/>
      <c r="AAL214" s="89" t="str">
        <f>IF(S.DASApprovalRequired=TRUE,"See DAS approval sequence below",IF(S.InvolveFee=TRUE,"DAS notice required","No DAS involvement"))</f>
        <v>No DAS involvement</v>
      </c>
      <c r="AAM214" s="112"/>
      <c r="AAU214" s="44"/>
      <c r="AAV214"/>
      <c r="AAW214"/>
      <c r="AAX214"/>
      <c r="AAY214"/>
      <c r="AAZ214"/>
      <c r="ABA214"/>
      <c r="ABB214"/>
      <c r="ABC214"/>
      <c r="ABD214"/>
    </row>
    <row r="215" spans="1:732" s="23" customFormat="1" ht="15" hidden="1"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185</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hidden="1"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185</v>
      </c>
      <c r="AAG216" s="76"/>
      <c r="AAH216" s="76"/>
      <c r="AAI216" s="77"/>
      <c r="AAJ216" s="77"/>
      <c r="AAK216" s="77"/>
      <c r="AAL216" s="89" t="str">
        <f>"b. "&amp;S.CodeName&amp;"FEE.SUPPORT.DOCS"</f>
        <v>b. FEE.SUPPORT.DOCS</v>
      </c>
      <c r="AAM216" s="112"/>
      <c r="AAN216"/>
      <c r="AAT216" s="23"/>
      <c r="AAU216" s="44"/>
    </row>
    <row r="217" spans="1:732" ht="15" hidden="1"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185</v>
      </c>
      <c r="AAG217" s="76"/>
      <c r="AAH217" s="76"/>
      <c r="AAI217" s="76"/>
      <c r="AAJ217" s="57"/>
      <c r="AAK217" s="57"/>
      <c r="AAL217" s="80"/>
      <c r="AAM217" s="112"/>
      <c r="AAN217"/>
      <c r="AAT217" s="23"/>
      <c r="AAU217" s="44"/>
    </row>
    <row r="218" spans="1:732" ht="15" hidden="1" outlineLevel="1">
      <c r="A218" s="558"/>
      <c r="B218" s="257" t="s">
        <v>194</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185</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hidden="1" customHeight="1" outlineLevel="1">
      <c r="A219" s="558"/>
      <c r="B219" s="532" t="str">
        <f>AAL219</f>
        <v>No DAS involvement</v>
      </c>
      <c r="C219" s="531"/>
      <c r="D219" s="498" t="s">
        <v>374</v>
      </c>
      <c r="E219" s="491">
        <f t="shared" ref="E219:E225" si="891">NETWORKDAYS(G219,H219,S.DDL_DEQClosed)</f>
        <v>48</v>
      </c>
      <c r="F219" s="372">
        <f ca="1">NETWORKDAYS(TODAY(),H219)</f>
        <v>-17</v>
      </c>
      <c r="G219" s="369">
        <f>AAG219</f>
        <v>41369</v>
      </c>
      <c r="H219" s="369">
        <f>AAH219</f>
        <v>41439</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2">IF(AND(S.InvolveFee=TRUE,S.DASApprovalRequired=TRUE),1,0)</f>
        <v>0</v>
      </c>
      <c r="AAF219" s="112" t="s">
        <v>0</v>
      </c>
      <c r="AAG219" s="78">
        <f>S.BANNER.FeeStart</f>
        <v>41369</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2"/>
      <c r="AAN219"/>
      <c r="AAT219" s="23"/>
      <c r="AAU219" s="44"/>
    </row>
    <row r="220" spans="1:732" s="23" customFormat="1" ht="15" hidden="1" outlineLevel="1">
      <c r="A220" s="558"/>
      <c r="B220" s="255" t="s">
        <v>265</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2"/>
        <v>0</v>
      </c>
      <c r="AAF220" s="583" t="s">
        <v>185</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hidden="1"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2"/>
        <v>0</v>
      </c>
      <c r="AAF221" s="583" t="s">
        <v>185</v>
      </c>
      <c r="AAG221" s="76"/>
      <c r="AAH221" s="76"/>
      <c r="AAI221" s="77"/>
      <c r="AAJ221" s="77"/>
      <c r="AAK221" s="77"/>
      <c r="AAL221" s="89" t="str">
        <f>"b. "&amp;S.CodeName&amp;"FEE.SUPPORT.DOCS"</f>
        <v>b. FEE.SUPPORT.DOCS</v>
      </c>
      <c r="AAM221" s="112"/>
      <c r="AAN221"/>
      <c r="AAT221" s="23"/>
      <c r="AAU221" s="44"/>
    </row>
    <row r="222" spans="1:732" ht="15" hidden="1"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2"/>
        <v>0</v>
      </c>
      <c r="AAF222" s="583" t="s">
        <v>185</v>
      </c>
      <c r="AAG222" s="76"/>
      <c r="AAH222" s="76"/>
      <c r="AAI222" s="77"/>
      <c r="AAJ222" s="77"/>
      <c r="AAK222" s="77"/>
      <c r="AAL222" s="89" t="str">
        <f>"a. "&amp;S.CodeName&amp;"FEE.APPROVAL (link through FEE.ANALYSIS)"</f>
        <v>a. FEE.APPROVAL (link through FEE.ANALYSIS)</v>
      </c>
      <c r="AAM222" s="112"/>
      <c r="AAN222"/>
      <c r="AAT222" s="23"/>
      <c r="AAU222" s="44"/>
    </row>
    <row r="223" spans="1:732" ht="15" hidden="1"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2"/>
        <v>0</v>
      </c>
      <c r="AAF223" s="583" t="s">
        <v>185</v>
      </c>
      <c r="AAG223" s="76"/>
      <c r="AAH223" s="76"/>
      <c r="AAI223" s="77"/>
      <c r="AAJ223" s="77"/>
      <c r="AAK223" s="77"/>
      <c r="AAL223" s="89" t="str">
        <f>"b. "&amp;S.CodeName&amp;"FEE.DETAIL (link through FEE.ANALYSIS)"</f>
        <v>b. FEE.DETAIL (link through FEE.ANALYSIS)</v>
      </c>
      <c r="AAM223" s="112"/>
      <c r="AAN223"/>
      <c r="AAT223" s="23"/>
      <c r="AAU223" s="44"/>
    </row>
    <row r="224" spans="1:732" ht="15" hidden="1"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2"/>
        <v>0</v>
      </c>
      <c r="AAF224" s="583" t="s">
        <v>185</v>
      </c>
      <c r="AAG224" s="76"/>
      <c r="AAH224" s="76"/>
      <c r="AAI224" s="77"/>
      <c r="AAJ224" s="77"/>
      <c r="AAK224" s="77"/>
      <c r="AAL224" s="80"/>
      <c r="AAM224" s="112"/>
      <c r="AAN224"/>
      <c r="AAT224" s="23"/>
      <c r="AAU224" s="44"/>
    </row>
    <row r="225" spans="1:732" ht="15" hidden="1" outlineLevel="1">
      <c r="A225" s="558"/>
      <c r="B225" s="258" t="s">
        <v>266</v>
      </c>
      <c r="C225" s="239"/>
      <c r="D225" s="501" t="s">
        <v>374</v>
      </c>
      <c r="E225" s="491">
        <f t="shared" si="891"/>
        <v>1</v>
      </c>
      <c r="F225" s="372">
        <f t="shared" ref="F225:F229" ca="1" si="893">NETWORKDAYS(TODAY(),H225)</f>
        <v>-17</v>
      </c>
      <c r="G225" s="369">
        <f>AAG225</f>
        <v>41439</v>
      </c>
      <c r="H225" s="369">
        <f t="shared" ref="H225:H229" si="894">AAH225</f>
        <v>41439</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2"/>
        <v>0</v>
      </c>
      <c r="AAF225" s="112"/>
      <c r="AAG225" s="78">
        <f>H219</f>
        <v>41439</v>
      </c>
      <c r="AAH225" s="78">
        <f>G225</f>
        <v>41439</v>
      </c>
      <c r="AAI225" s="77"/>
      <c r="AAJ225" s="77"/>
      <c r="AAK225" s="77"/>
      <c r="AAL225" s="80"/>
      <c r="AAM225" s="112"/>
      <c r="AAN225"/>
      <c r="AAT225" s="23"/>
      <c r="AAU225" s="44"/>
    </row>
    <row r="226" spans="1:732" ht="15" hidden="1" outlineLevel="1">
      <c r="A226" s="558"/>
      <c r="B226" s="259" t="s">
        <v>118</v>
      </c>
      <c r="C226" s="239"/>
      <c r="D226" s="279" t="s">
        <v>170</v>
      </c>
      <c r="E226" s="491">
        <f>NETWORKDAYS(G226,H226,S.DDL_DEQClosed)</f>
        <v>1</v>
      </c>
      <c r="F226" s="372">
        <f t="shared" ca="1" si="893"/>
        <v>-17</v>
      </c>
      <c r="G226" s="369">
        <f t="shared" ref="G226:G229" si="895">AAG226</f>
        <v>41439</v>
      </c>
      <c r="H226" s="369">
        <f t="shared" si="894"/>
        <v>41439</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2"/>
        <v>0</v>
      </c>
      <c r="AAF226" s="112"/>
      <c r="AAG226" s="78">
        <f>H225</f>
        <v>41439</v>
      </c>
      <c r="AAH226" s="78">
        <f t="shared" ref="AAH226:AAH229" si="896">G226</f>
        <v>41439</v>
      </c>
      <c r="AAI226" s="77"/>
      <c r="AAJ226" s="77"/>
      <c r="AAK226" s="77"/>
      <c r="AAL226" s="80"/>
      <c r="AAM226" s="112"/>
      <c r="AAN226"/>
      <c r="AAT226" s="23"/>
      <c r="AAU226" s="44"/>
    </row>
    <row r="227" spans="1:732" ht="15" hidden="1" outlineLevel="1">
      <c r="A227" s="558"/>
      <c r="B227" s="261" t="s">
        <v>119</v>
      </c>
      <c r="C227" s="239"/>
      <c r="D227" s="279" t="s">
        <v>170</v>
      </c>
      <c r="E227" s="491">
        <f>NETWORKDAYS(G227,H227,S.DDL_DEQClosed)</f>
        <v>1</v>
      </c>
      <c r="F227" s="372">
        <f t="shared" ca="1" si="893"/>
        <v>-17</v>
      </c>
      <c r="G227" s="369">
        <f t="shared" si="895"/>
        <v>41439</v>
      </c>
      <c r="H227" s="369">
        <f t="shared" si="894"/>
        <v>41439</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2"/>
        <v>0</v>
      </c>
      <c r="AAF227" s="112"/>
      <c r="AAG227" s="78">
        <f t="shared" ref="AAG227:AAG229" si="897">H226</f>
        <v>41439</v>
      </c>
      <c r="AAH227" s="78">
        <f t="shared" si="896"/>
        <v>41439</v>
      </c>
      <c r="AAI227" s="77"/>
      <c r="AAJ227" s="77"/>
      <c r="AAK227" s="77"/>
      <c r="AAL227" s="80"/>
      <c r="AAM227" s="112"/>
      <c r="AAN227"/>
      <c r="AAT227" s="23"/>
      <c r="AAU227" s="44"/>
    </row>
    <row r="228" spans="1:732" ht="15" hidden="1" outlineLevel="1">
      <c r="A228" s="558"/>
      <c r="B228" s="262" t="s">
        <v>120</v>
      </c>
      <c r="C228" s="239"/>
      <c r="D228" s="279" t="s">
        <v>170</v>
      </c>
      <c r="E228" s="491">
        <f>NETWORKDAYS(G228,H228,S.DDL_DEQClosed)</f>
        <v>1</v>
      </c>
      <c r="F228" s="372">
        <f t="shared" ca="1" si="893"/>
        <v>-17</v>
      </c>
      <c r="G228" s="369">
        <f t="shared" si="895"/>
        <v>41439</v>
      </c>
      <c r="H228" s="369">
        <f t="shared" si="894"/>
        <v>41439</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2"/>
        <v>0</v>
      </c>
      <c r="AAF228" s="112"/>
      <c r="AAG228" s="78">
        <f t="shared" si="897"/>
        <v>41439</v>
      </c>
      <c r="AAH228" s="78">
        <f t="shared" si="896"/>
        <v>41439</v>
      </c>
      <c r="AAI228" s="77"/>
      <c r="AAJ228" s="77"/>
      <c r="AAK228" s="77"/>
      <c r="AAL228" s="80"/>
      <c r="AAM228" s="112"/>
      <c r="AAN228"/>
      <c r="AAT228" s="23"/>
      <c r="AAU228" s="44"/>
    </row>
    <row r="229" spans="1:732" ht="15" hidden="1" outlineLevel="1">
      <c r="A229" s="558"/>
      <c r="B229" s="263" t="s">
        <v>121</v>
      </c>
      <c r="C229" s="239"/>
      <c r="D229" s="279" t="s">
        <v>170</v>
      </c>
      <c r="E229" s="491">
        <f>NETWORKDAYS(G229,H229,S.DDL_DEQClosed)</f>
        <v>1</v>
      </c>
      <c r="F229" s="372">
        <f t="shared" ca="1" si="893"/>
        <v>-17</v>
      </c>
      <c r="G229" s="369">
        <f t="shared" si="895"/>
        <v>41439</v>
      </c>
      <c r="H229" s="369">
        <f t="shared" si="894"/>
        <v>41439</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2"/>
        <v>0</v>
      </c>
      <c r="AAF229" s="112"/>
      <c r="AAG229" s="78">
        <f t="shared" si="897"/>
        <v>41439</v>
      </c>
      <c r="AAH229" s="78">
        <f t="shared" si="896"/>
        <v>41439</v>
      </c>
      <c r="AAI229" s="77"/>
      <c r="AAJ229" s="77"/>
      <c r="AAK229" s="77"/>
      <c r="AAL229" s="80"/>
      <c r="AAM229" s="112"/>
      <c r="AAN229"/>
      <c r="AAT229" s="23"/>
      <c r="AAU229" s="44"/>
    </row>
    <row r="230" spans="1:732" ht="82.5" hidden="1" customHeight="1" outlineLevel="1">
      <c r="A230" s="558"/>
      <c r="B230" s="757" t="s">
        <v>357</v>
      </c>
      <c r="C230" s="757"/>
      <c r="D230" s="757"/>
      <c r="E230" s="757"/>
      <c r="F230" s="757"/>
      <c r="G230" s="757"/>
      <c r="H230" s="757"/>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2"/>
        <v>0</v>
      </c>
      <c r="AAF230" s="583" t="s">
        <v>185</v>
      </c>
      <c r="AAG230" s="63"/>
      <c r="AAH230" s="63"/>
      <c r="AAI230" s="77"/>
      <c r="AAJ230" s="77"/>
      <c r="AAK230" s="77"/>
      <c r="AAL230" s="80"/>
      <c r="AAM230" s="112"/>
      <c r="AAN230"/>
      <c r="AAT230" s="23"/>
      <c r="AAU230" s="44"/>
    </row>
    <row r="231" spans="1:732" ht="15" hidden="1"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2"/>
        <v>0</v>
      </c>
      <c r="AAF231" s="583" t="s">
        <v>185</v>
      </c>
      <c r="AAG231" s="63"/>
      <c r="AAH231" s="63"/>
      <c r="AAI231" s="77"/>
      <c r="AAJ231" s="77"/>
      <c r="AAK231" s="77"/>
      <c r="AAL231" s="80"/>
      <c r="AAM231" s="112"/>
      <c r="AAN231"/>
      <c r="AAT231" s="23"/>
      <c r="AAU231" s="44"/>
    </row>
    <row r="232" spans="1:732" ht="15.75" hidden="1" outlineLevel="1">
      <c r="A232" s="558"/>
      <c r="B232" s="761" t="s">
        <v>117</v>
      </c>
      <c r="C232" s="761"/>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2"/>
        <v>0</v>
      </c>
      <c r="AAF232" s="583" t="s">
        <v>185</v>
      </c>
      <c r="AAG232" s="76"/>
      <c r="AAH232" s="76"/>
      <c r="AAI232" s="77"/>
      <c r="AAJ232" s="77"/>
      <c r="AAK232" s="77"/>
      <c r="AAL232" s="80"/>
      <c r="AAM232" s="112"/>
      <c r="AAN232"/>
      <c r="AAT232" s="23"/>
      <c r="AAU232" s="44"/>
    </row>
    <row r="233" spans="1:732" ht="15" hidden="1" outlineLevel="1">
      <c r="A233" s="558"/>
      <c r="B233" s="265" t="s">
        <v>143</v>
      </c>
      <c r="C233" s="712"/>
      <c r="D233" s="278" t="s">
        <v>171</v>
      </c>
      <c r="E233" s="491">
        <f>NETWORKDAYS(G233,H233,S.DDL_DEQClosed)</f>
        <v>1</v>
      </c>
      <c r="F233" s="372">
        <f ca="1">NETWORKDAYS(TODAY(),H233)</f>
        <v>-17</v>
      </c>
      <c r="G233" s="369">
        <f t="shared" ref="G233:H234" si="898">AAG233</f>
        <v>41439</v>
      </c>
      <c r="H233" s="370">
        <f>AAH233</f>
        <v>41439</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2"/>
        <v>0</v>
      </c>
      <c r="AAF233" s="112"/>
      <c r="AAG233" s="78">
        <f>H229</f>
        <v>41439</v>
      </c>
      <c r="AAH233" s="78">
        <f>G233</f>
        <v>41439</v>
      </c>
      <c r="AAI233" s="77"/>
      <c r="AAJ233" s="77"/>
      <c r="AAK233" s="77"/>
      <c r="AAL233" s="80"/>
      <c r="AAM233" s="112"/>
      <c r="AAN233"/>
      <c r="AAT233" s="23"/>
      <c r="AAU233" s="44"/>
    </row>
    <row r="234" spans="1:732" ht="15" hidden="1" outlineLevel="1">
      <c r="A234" s="558"/>
      <c r="B234" s="265" t="s">
        <v>54</v>
      </c>
      <c r="C234" s="712"/>
      <c r="D234" s="278" t="s">
        <v>375</v>
      </c>
      <c r="E234" s="491">
        <f>NETWORKDAYS(G234,H234,S.DDL_DEQClosed)</f>
        <v>1</v>
      </c>
      <c r="F234" s="372">
        <f ca="1">NETWORKDAYS(TODAY(),H234)</f>
        <v>-17</v>
      </c>
      <c r="G234" s="369">
        <f t="shared" si="898"/>
        <v>41439</v>
      </c>
      <c r="H234" s="369">
        <f t="shared" si="898"/>
        <v>41439</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2"/>
        <v>0</v>
      </c>
      <c r="AAF234" s="112"/>
      <c r="AAG234" s="78">
        <f>H233</f>
        <v>41439</v>
      </c>
      <c r="AAH234" s="78">
        <f>G234</f>
        <v>41439</v>
      </c>
      <c r="AAI234" s="77"/>
      <c r="AAJ234" s="77"/>
      <c r="AAK234" s="77"/>
      <c r="AAL234" s="80"/>
      <c r="AAM234" s="112"/>
      <c r="AAN234"/>
      <c r="AAT234" s="23"/>
      <c r="AAU234" s="44"/>
    </row>
    <row r="235" spans="1:732" ht="15" hidden="1" outlineLevel="1">
      <c r="A235" s="558"/>
      <c r="B235" s="762" t="s">
        <v>109</v>
      </c>
      <c r="C235" s="762"/>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2"/>
        <v>0</v>
      </c>
      <c r="AAF235" s="583" t="s">
        <v>185</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hidden="1" outlineLevel="1">
      <c r="A236" s="558"/>
      <c r="B236" s="760" t="s">
        <v>292</v>
      </c>
      <c r="C236" s="760"/>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2"/>
        <v>0</v>
      </c>
      <c r="AAF236" s="583" t="s">
        <v>185</v>
      </c>
      <c r="AAG236" s="76"/>
      <c r="AAH236" s="76"/>
      <c r="AAI236" s="76"/>
      <c r="AAJ236" s="57"/>
      <c r="AAK236" s="57"/>
      <c r="AAL236" s="80"/>
      <c r="AAM236" s="112"/>
      <c r="AAN236"/>
      <c r="AAO236" s="43"/>
      <c r="AAP236" s="43"/>
      <c r="AAQ236" s="43"/>
      <c r="AAR236" s="43"/>
      <c r="AAS236" s="43"/>
      <c r="AAT236" s="43"/>
      <c r="AAU236" s="44"/>
    </row>
    <row r="237" spans="1:732" s="43" customFormat="1" ht="15.75" hidden="1" customHeight="1" outlineLevel="1">
      <c r="A237" s="600"/>
      <c r="B237" s="266" t="str">
        <f>AAL237</f>
        <v>Send DAS.EMAILS.pdf</v>
      </c>
      <c r="C237" s="168"/>
      <c r="D237" s="278" t="s">
        <v>201</v>
      </c>
      <c r="E237" s="491">
        <f t="shared" ref="E237:E238" si="899">NETWORKDAYS(G237,H237,S.DDL_DEQClosed)</f>
        <v>1</v>
      </c>
      <c r="F237" s="372">
        <f ca="1">NETWORKDAYS(TODAY(),G237)</f>
        <v>-67</v>
      </c>
      <c r="G237" s="656">
        <f>AAG237</f>
        <v>41369</v>
      </c>
      <c r="H237" s="370">
        <f>AAH237</f>
        <v>41369</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2"/>
        <v>0</v>
      </c>
      <c r="AAF237" s="112"/>
      <c r="AAG237" s="78">
        <f>S.SubmitFeeToDAS</f>
        <v>41369</v>
      </c>
      <c r="AAH237" s="78">
        <f>S.SubmitFeeToDAS</f>
        <v>41369</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558"/>
      <c r="B238" s="233" t="s">
        <v>53</v>
      </c>
      <c r="C238" s="168"/>
      <c r="D238" s="278" t="s">
        <v>74</v>
      </c>
      <c r="E238" s="491">
        <f t="shared" si="899"/>
        <v>1</v>
      </c>
      <c r="F238" s="372">
        <f t="shared" ref="F238:F244" ca="1" si="900">NETWORKDAYS(TODAY(),H238)</f>
        <v>-61</v>
      </c>
      <c r="G238" s="369">
        <f>AAG238</f>
        <v>41379</v>
      </c>
      <c r="H238" s="370">
        <f t="shared" ref="G238:H247" si="901">AAH238</f>
        <v>41379</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2"/>
        <v>0</v>
      </c>
      <c r="AAF238" s="112"/>
      <c r="AAG238" s="78">
        <f>WORKDAY(G237+9,1,S.DDL_DEQClosed)</f>
        <v>41379</v>
      </c>
      <c r="AAH238" s="78">
        <f t="shared" ref="AAH238:AAH244" si="902">G238</f>
        <v>41379</v>
      </c>
      <c r="AAI238" s="77"/>
      <c r="AAJ238" s="77"/>
      <c r="AAK238" s="77"/>
      <c r="AAL238" s="80"/>
      <c r="AAM238" s="112"/>
      <c r="AAN238"/>
      <c r="AAT238" s="23"/>
      <c r="AAU238" s="44"/>
    </row>
    <row r="239" spans="1:732" s="23" customFormat="1" ht="15" hidden="1" outlineLevel="1">
      <c r="A239" s="558"/>
      <c r="B239" s="230" t="s">
        <v>179</v>
      </c>
      <c r="C239" s="168"/>
      <c r="D239" s="278" t="s">
        <v>201</v>
      </c>
      <c r="E239" s="491">
        <f>NETWORKDAYS(G239,H239,S.DDL_DEQClosed)</f>
        <v>1</v>
      </c>
      <c r="F239" s="372">
        <f t="shared" ref="F239" ca="1" si="903">NETWORKDAYS(TODAY(),H239)</f>
        <v>-61</v>
      </c>
      <c r="G239" s="497">
        <f>AAG239</f>
        <v>41379</v>
      </c>
      <c r="H239" s="496">
        <f t="shared" ref="H239" si="904">AAH239</f>
        <v>41379</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2"/>
        <v>0</v>
      </c>
      <c r="AAF239" s="112"/>
      <c r="AAG239" s="78">
        <f>H238</f>
        <v>41379</v>
      </c>
      <c r="AAH239" s="78">
        <f t="shared" ref="AAH239" si="905">G239</f>
        <v>41379</v>
      </c>
      <c r="AAI239" s="77"/>
      <c r="AAJ239" s="77"/>
      <c r="AAK239" s="77"/>
      <c r="AAL239" s="80"/>
      <c r="AAM239" s="112"/>
      <c r="AAU239" s="44"/>
      <c r="AAV239"/>
      <c r="AAW239"/>
      <c r="AAX239"/>
      <c r="AAY239"/>
      <c r="AAZ239"/>
      <c r="ABA239"/>
      <c r="ABB239"/>
      <c r="ABC239"/>
      <c r="ABD239"/>
    </row>
    <row r="240" spans="1:732" ht="18" hidden="1" customHeight="1" outlineLevel="1">
      <c r="A240" s="558"/>
      <c r="B240" s="758" t="s">
        <v>295</v>
      </c>
      <c r="C240" s="759"/>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2"/>
        <v>0</v>
      </c>
      <c r="AAF240" s="583" t="s">
        <v>185</v>
      </c>
      <c r="AAG240" s="76"/>
      <c r="AAH240" s="76"/>
      <c r="AAI240" s="77"/>
      <c r="AAJ240" s="77"/>
      <c r="AAK240" s="77"/>
      <c r="AAL240" s="80"/>
      <c r="AAM240" s="112"/>
      <c r="AAN240"/>
      <c r="AAT240" s="23"/>
      <c r="AAU240" s="44"/>
    </row>
    <row r="241" spans="1:732" ht="15" hidden="1" outlineLevel="1">
      <c r="A241" s="558"/>
      <c r="B241" s="259" t="s">
        <v>97</v>
      </c>
      <c r="C241" s="239"/>
      <c r="D241" s="260" t="s">
        <v>172</v>
      </c>
      <c r="E241" s="491">
        <f>NETWORKDAYS(G241,H241,S.DDL_DEQClosed)</f>
        <v>1</v>
      </c>
      <c r="F241" s="372">
        <f t="shared" ca="1" si="900"/>
        <v>-61</v>
      </c>
      <c r="G241" s="369">
        <f t="shared" si="901"/>
        <v>41379</v>
      </c>
      <c r="H241" s="369">
        <f t="shared" si="901"/>
        <v>41379</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2"/>
        <v>0</v>
      </c>
      <c r="AAF241" s="112"/>
      <c r="AAG241" s="78">
        <f>H239</f>
        <v>41379</v>
      </c>
      <c r="AAH241" s="78">
        <f t="shared" si="902"/>
        <v>41379</v>
      </c>
      <c r="AAI241" s="77"/>
      <c r="AAJ241" s="77"/>
      <c r="AAK241" s="77"/>
      <c r="AAL241" s="80"/>
      <c r="AAM241" s="112"/>
      <c r="AAN241"/>
      <c r="AAT241" s="23"/>
      <c r="AAU241" s="44"/>
    </row>
    <row r="242" spans="1:732" ht="15" hidden="1" outlineLevel="1">
      <c r="A242" s="558"/>
      <c r="B242" s="261" t="s">
        <v>98</v>
      </c>
      <c r="C242" s="239"/>
      <c r="D242" s="260" t="s">
        <v>172</v>
      </c>
      <c r="E242" s="491">
        <f>NETWORKDAYS(G242,H242,S.DDL_DEQClosed)</f>
        <v>1</v>
      </c>
      <c r="F242" s="372">
        <f t="shared" ca="1" si="900"/>
        <v>-61</v>
      </c>
      <c r="G242" s="369">
        <f t="shared" si="901"/>
        <v>41379</v>
      </c>
      <c r="H242" s="369">
        <f t="shared" si="901"/>
        <v>41379</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2"/>
        <v>0</v>
      </c>
      <c r="AAF242" s="112"/>
      <c r="AAG242" s="78">
        <f t="shared" ref="AAG242:AAG244" si="906">H241</f>
        <v>41379</v>
      </c>
      <c r="AAH242" s="78">
        <f t="shared" si="902"/>
        <v>41379</v>
      </c>
      <c r="AAI242" s="77"/>
      <c r="AAJ242" s="77"/>
      <c r="AAK242" s="77"/>
      <c r="AAL242" s="80"/>
      <c r="AAM242" s="112"/>
      <c r="AAN242"/>
      <c r="AAT242" s="23"/>
      <c r="AAU242" s="44"/>
    </row>
    <row r="243" spans="1:732" ht="15" hidden="1" outlineLevel="1">
      <c r="A243" s="558"/>
      <c r="B243" s="262" t="s">
        <v>99</v>
      </c>
      <c r="C243" s="239"/>
      <c r="D243" s="260" t="s">
        <v>172</v>
      </c>
      <c r="E243" s="491">
        <f>NETWORKDAYS(G243,H243,S.DDL_DEQClosed)</f>
        <v>1</v>
      </c>
      <c r="F243" s="372">
        <f t="shared" ca="1" si="900"/>
        <v>-61</v>
      </c>
      <c r="G243" s="369">
        <f t="shared" si="901"/>
        <v>41379</v>
      </c>
      <c r="H243" s="369">
        <f t="shared" si="901"/>
        <v>41379</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2"/>
        <v>0</v>
      </c>
      <c r="AAF243" s="112"/>
      <c r="AAG243" s="78">
        <f t="shared" si="906"/>
        <v>41379</v>
      </c>
      <c r="AAH243" s="78">
        <f t="shared" si="902"/>
        <v>41379</v>
      </c>
      <c r="AAI243" s="77"/>
      <c r="AAJ243" s="77"/>
      <c r="AAK243" s="77"/>
      <c r="AAL243" s="80"/>
      <c r="AAM243" s="112"/>
      <c r="AAN243"/>
      <c r="AAT243" s="23"/>
      <c r="AAU243" s="44"/>
      <c r="AAV243" s="23"/>
      <c r="AAW243" s="23"/>
      <c r="AAX243" s="23"/>
      <c r="AAY243" s="23"/>
      <c r="AAZ243" s="23"/>
      <c r="ABA243" s="23"/>
      <c r="ABB243" s="23"/>
      <c r="ABC243" s="23"/>
      <c r="ABD243" s="23"/>
    </row>
    <row r="244" spans="1:732" ht="15" hidden="1" outlineLevel="1">
      <c r="A244" s="558"/>
      <c r="B244" s="267" t="s">
        <v>100</v>
      </c>
      <c r="C244" s="239"/>
      <c r="D244" s="260" t="s">
        <v>172</v>
      </c>
      <c r="E244" s="491">
        <f>NETWORKDAYS(G244,H244,S.DDL_DEQClosed)</f>
        <v>1</v>
      </c>
      <c r="F244" s="372">
        <f t="shared" ca="1" si="900"/>
        <v>-61</v>
      </c>
      <c r="G244" s="369">
        <f t="shared" si="901"/>
        <v>41379</v>
      </c>
      <c r="H244" s="369">
        <f t="shared" si="901"/>
        <v>41379</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2"/>
        <v>0</v>
      </c>
      <c r="AAF244" s="112"/>
      <c r="AAG244" s="78">
        <f t="shared" si="906"/>
        <v>41379</v>
      </c>
      <c r="AAH244" s="78">
        <f t="shared" si="902"/>
        <v>41379</v>
      </c>
      <c r="AAI244" s="77"/>
      <c r="AAJ244" s="77"/>
      <c r="AAK244" s="77"/>
      <c r="AAL244" s="80"/>
      <c r="AAM244" s="112"/>
      <c r="AAN244"/>
      <c r="AAT244" s="23"/>
      <c r="AAU244" s="44"/>
    </row>
    <row r="245" spans="1:732" s="23" customFormat="1" ht="87" hidden="1" customHeight="1" outlineLevel="1">
      <c r="A245" s="558"/>
      <c r="B245" s="757" t="s">
        <v>357</v>
      </c>
      <c r="C245" s="757"/>
      <c r="D245" s="757"/>
      <c r="E245" s="757"/>
      <c r="F245" s="757"/>
      <c r="G245" s="757"/>
      <c r="H245" s="757"/>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2"/>
        <v>0</v>
      </c>
      <c r="AAF245" s="583" t="s">
        <v>185</v>
      </c>
      <c r="AAG245" s="63"/>
      <c r="AAH245" s="63"/>
      <c r="AAI245" s="77"/>
      <c r="AAJ245" s="77"/>
      <c r="AAK245" s="77"/>
      <c r="AAL245" s="80"/>
      <c r="AAM245" s="112"/>
      <c r="AAU245" s="44"/>
      <c r="AAV245"/>
      <c r="AAW245"/>
      <c r="AAX245"/>
      <c r="AAY245"/>
      <c r="AAZ245"/>
      <c r="ABA245"/>
      <c r="ABB245"/>
      <c r="ABC245"/>
      <c r="ABD245"/>
    </row>
    <row r="246" spans="1:732" ht="15" hidden="1"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2"/>
        <v>0</v>
      </c>
      <c r="AAF246" s="583" t="s">
        <v>185</v>
      </c>
      <c r="AAG246" s="76"/>
      <c r="AAH246" s="76"/>
      <c r="AAI246" s="77"/>
      <c r="AAJ246" s="77"/>
      <c r="AAK246" s="77"/>
      <c r="AAL246" s="80"/>
      <c r="AAM246" s="112"/>
      <c r="AAN246"/>
      <c r="AAT246" s="23"/>
      <c r="AAU246" s="44"/>
    </row>
    <row r="247" spans="1:732" ht="18" hidden="1" customHeight="1" outlineLevel="1">
      <c r="A247" s="558"/>
      <c r="B247" s="758" t="s">
        <v>323</v>
      </c>
      <c r="C247" s="759"/>
      <c r="D247" s="278" t="s">
        <v>166</v>
      </c>
      <c r="E247" s="491">
        <f>NETWORKDAYS(G247,H247,S.DDL_DEQClosed)</f>
        <v>1</v>
      </c>
      <c r="F247" s="372">
        <f ca="1">NETWORKDAYS(TODAY(),H247)</f>
        <v>-61</v>
      </c>
      <c r="G247" s="370">
        <f>AAG247</f>
        <v>41379</v>
      </c>
      <c r="H247" s="496">
        <f t="shared" si="901"/>
        <v>41379</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2"/>
        <v>0</v>
      </c>
      <c r="AAF247" s="112"/>
      <c r="AAG247" s="78">
        <f>H244</f>
        <v>41379</v>
      </c>
      <c r="AAH247" s="78">
        <f>G247</f>
        <v>41379</v>
      </c>
      <c r="AAI247" s="77"/>
      <c r="AAJ247" s="77"/>
      <c r="AAK247" s="77"/>
      <c r="AAL247" s="80"/>
      <c r="AAM247" s="112"/>
      <c r="AAN247"/>
      <c r="AAT247" s="23"/>
      <c r="AAU247" s="44"/>
    </row>
    <row r="248" spans="1:732" ht="6" customHeight="1" collapsed="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185</v>
      </c>
      <c r="AAG248" s="63"/>
      <c r="AAH248" s="63"/>
      <c r="AAI248" s="77"/>
      <c r="AAJ248" s="77"/>
      <c r="AAK248" s="77"/>
      <c r="AAL248" s="80"/>
      <c r="AAM248" s="112"/>
      <c r="AAN248"/>
      <c r="AAT248" s="23"/>
      <c r="AAU248" s="44"/>
    </row>
    <row r="249" spans="1:732" s="23" customFormat="1" ht="18" customHeight="1">
      <c r="A249" s="558"/>
      <c r="B249" s="769" t="str">
        <f>AAL25</f>
        <v>4-Public Notice WITH hearing</v>
      </c>
      <c r="C249" s="769"/>
      <c r="D249" s="769"/>
      <c r="E249" s="769"/>
      <c r="F249" s="769"/>
      <c r="G249" s="769"/>
      <c r="H249" s="769"/>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185</v>
      </c>
      <c r="AAG249" s="112"/>
      <c r="AAH249" s="112"/>
      <c r="AAI249" s="77"/>
      <c r="AAJ249" s="90"/>
      <c r="AAK249" s="90"/>
      <c r="AAL249" s="76"/>
      <c r="AAM249" s="112"/>
      <c r="AAU249" s="44"/>
    </row>
    <row r="250" spans="1:732" s="23" customFormat="1" ht="18" customHeight="1">
      <c r="A250" s="558"/>
      <c r="B250" s="272" t="s">
        <v>15</v>
      </c>
      <c r="C250" s="703"/>
      <c r="D250" s="150" t="s">
        <v>254</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258</v>
      </c>
      <c r="AAF250" s="583" t="s">
        <v>185</v>
      </c>
      <c r="AAG250" s="112"/>
      <c r="AAH250" s="112"/>
      <c r="AAI250" s="77"/>
      <c r="AAJ250" s="90"/>
      <c r="AAK250" s="90"/>
      <c r="AAL250" s="76"/>
      <c r="AAM250" s="112"/>
      <c r="AAU250" s="44"/>
    </row>
    <row r="251" spans="1:732" ht="18" customHeight="1">
      <c r="A251" s="558"/>
      <c r="B251" s="273"/>
      <c r="C251" s="704"/>
      <c r="D251" s="236"/>
      <c r="E251" s="236"/>
      <c r="F251" s="405">
        <f>NETWORKDAYS(S.BANNER.NoticeStart,S.BANNER.NoticeEnd,S.DDL_DEQClosed)</f>
        <v>93</v>
      </c>
      <c r="G251" s="253">
        <f>AAG251</f>
        <v>41369</v>
      </c>
      <c r="H251" s="663">
        <f>AAH251</f>
        <v>41505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258</v>
      </c>
      <c r="AAF251" s="583" t="s">
        <v>185</v>
      </c>
      <c r="AAG251" s="78">
        <f>S.BANNER.PlanningStart</f>
        <v>41369</v>
      </c>
      <c r="AAH251" s="78">
        <f>S.CloseComment</f>
        <v>41505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c r="B252" s="275"/>
      <c r="C252" s="688"/>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185</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3"/>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7">IF(S.InvolveHearing=TRUE,1,0)</f>
        <v>1</v>
      </c>
      <c r="AAF253" s="583" t="s">
        <v>185</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293</v>
      </c>
      <c r="C254" s="168"/>
      <c r="D254" s="756" t="s">
        <v>391</v>
      </c>
      <c r="E254" s="756"/>
      <c r="F254" s="756"/>
      <c r="G254" s="733">
        <f>AAG254</f>
        <v>41501</v>
      </c>
      <c r="H254" s="527" t="s">
        <v>393</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7"/>
        <v>1</v>
      </c>
      <c r="AAF254" s="583" t="s">
        <v>185</v>
      </c>
      <c r="AAG254" s="78">
        <f>S.FirstHearingDate</f>
        <v>41501</v>
      </c>
      <c r="AAH254" s="39" t="s">
        <v>0</v>
      </c>
      <c r="AAI254" s="39"/>
      <c r="AAJ254" s="56"/>
      <c r="AAK254" s="56"/>
      <c r="AAL254" s="56"/>
      <c r="AAM254" s="112"/>
      <c r="AAU254" s="44"/>
    </row>
    <row r="255" spans="1:732" s="23" customFormat="1" ht="15" hidden="1" outlineLevel="1">
      <c r="A255" s="558"/>
      <c r="B255" s="488" t="s">
        <v>215</v>
      </c>
      <c r="C255" s="168"/>
      <c r="D255" s="756" t="s">
        <v>294</v>
      </c>
      <c r="E255" s="756"/>
      <c r="F255" s="756"/>
      <c r="G255" s="528">
        <f>AAG255</f>
        <v>41501</v>
      </c>
      <c r="H255" s="528" t="str">
        <f>AAH255</f>
        <v>6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7"/>
        <v>1</v>
      </c>
      <c r="AAF255" s="583" t="s">
        <v>185</v>
      </c>
      <c r="AAG255" s="78">
        <f>G254</f>
        <v>41501</v>
      </c>
      <c r="AAH255" s="530" t="str">
        <f>H254</f>
        <v>6  p.m.</v>
      </c>
      <c r="AAI255" s="77"/>
      <c r="AAJ255" s="77"/>
      <c r="AAK255" s="77"/>
      <c r="AAL255" s="79"/>
      <c r="AAM255" s="112"/>
      <c r="AAU255" s="44"/>
    </row>
    <row r="256" spans="1:732" s="23" customFormat="1" ht="15" hidden="1" outlineLevel="1">
      <c r="A256" s="558"/>
      <c r="B256" s="488" t="s">
        <v>216</v>
      </c>
      <c r="C256" s="168"/>
      <c r="D256" s="756" t="s">
        <v>294</v>
      </c>
      <c r="E256" s="756"/>
      <c r="F256" s="756"/>
      <c r="G256" s="528">
        <f t="shared" ref="G256:G261" si="908">AAG256</f>
        <v>41501</v>
      </c>
      <c r="H256" s="528" t="str">
        <f t="shared" ref="H256:H260" si="909">AAH256</f>
        <v>6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7"/>
        <v>1</v>
      </c>
      <c r="AAF256" s="583" t="s">
        <v>185</v>
      </c>
      <c r="AAG256" s="78">
        <f>G254</f>
        <v>41501</v>
      </c>
      <c r="AAH256" s="530" t="str">
        <f>H254</f>
        <v>6  p.m.</v>
      </c>
      <c r="AAI256" s="77"/>
      <c r="AAJ256" s="57"/>
      <c r="AAK256" s="57"/>
      <c r="AAL256" s="80"/>
      <c r="AAM256" s="112"/>
      <c r="AAU256" s="44"/>
    </row>
    <row r="257" spans="1:732" s="23" customFormat="1" ht="15" hidden="1" outlineLevel="1">
      <c r="A257" s="558"/>
      <c r="B257" s="488" t="s">
        <v>217</v>
      </c>
      <c r="C257" s="168"/>
      <c r="D257" s="756" t="s">
        <v>294</v>
      </c>
      <c r="E257" s="756"/>
      <c r="F257" s="756"/>
      <c r="G257" s="528">
        <f t="shared" si="908"/>
        <v>41501</v>
      </c>
      <c r="H257" s="528" t="str">
        <f t="shared" si="909"/>
        <v>6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7"/>
        <v>1</v>
      </c>
      <c r="AAF257" s="583" t="s">
        <v>185</v>
      </c>
      <c r="AAG257" s="78">
        <f>G254</f>
        <v>41501</v>
      </c>
      <c r="AAH257" s="530" t="str">
        <f>H254</f>
        <v>6  p.m.</v>
      </c>
      <c r="AAI257" s="77"/>
      <c r="AAJ257" s="57"/>
      <c r="AAK257" s="57"/>
      <c r="AAL257" s="80"/>
      <c r="AAM257" s="112"/>
      <c r="AAU257" s="44"/>
    </row>
    <row r="258" spans="1:732" s="23" customFormat="1" ht="15" hidden="1" outlineLevel="1">
      <c r="A258" s="558"/>
      <c r="B258" s="488" t="s">
        <v>218</v>
      </c>
      <c r="C258" s="168"/>
      <c r="D258" s="756" t="s">
        <v>294</v>
      </c>
      <c r="E258" s="756"/>
      <c r="F258" s="756"/>
      <c r="G258" s="528">
        <f t="shared" si="908"/>
        <v>41501</v>
      </c>
      <c r="H258" s="528" t="str">
        <f t="shared" si="909"/>
        <v>6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7"/>
        <v>1</v>
      </c>
      <c r="AAF258" s="583" t="s">
        <v>185</v>
      </c>
      <c r="AAG258" s="78">
        <f>G254</f>
        <v>41501</v>
      </c>
      <c r="AAH258" s="530" t="str">
        <f>H254</f>
        <v>6  p.m.</v>
      </c>
      <c r="AAI258" s="77"/>
      <c r="AAJ258" s="57"/>
      <c r="AAK258" s="57"/>
      <c r="AAL258" s="80"/>
      <c r="AAM258" s="112"/>
      <c r="AAU258" s="44"/>
    </row>
    <row r="259" spans="1:732" s="23" customFormat="1" ht="15" hidden="1" outlineLevel="1">
      <c r="A259" s="558"/>
      <c r="B259" s="488" t="s">
        <v>219</v>
      </c>
      <c r="C259" s="168"/>
      <c r="D259" s="756" t="s">
        <v>294</v>
      </c>
      <c r="E259" s="756"/>
      <c r="F259" s="756"/>
      <c r="G259" s="528">
        <f t="shared" si="908"/>
        <v>41501</v>
      </c>
      <c r="H259" s="528" t="str">
        <f t="shared" si="909"/>
        <v>6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7"/>
        <v>1</v>
      </c>
      <c r="AAF259" s="583" t="s">
        <v>185</v>
      </c>
      <c r="AAG259" s="78">
        <f>G254</f>
        <v>41501</v>
      </c>
      <c r="AAH259" s="530" t="str">
        <f>H254</f>
        <v>6  p.m.</v>
      </c>
      <c r="AAI259" s="77"/>
      <c r="AAJ259" s="57"/>
      <c r="AAK259" s="57"/>
      <c r="AAL259" s="80"/>
      <c r="AAM259" s="112"/>
      <c r="AAU259" s="44"/>
    </row>
    <row r="260" spans="1:732" s="23" customFormat="1" ht="15" hidden="1" outlineLevel="1">
      <c r="A260" s="558"/>
      <c r="B260" s="488" t="s">
        <v>220</v>
      </c>
      <c r="C260" s="168"/>
      <c r="D260" s="756" t="s">
        <v>294</v>
      </c>
      <c r="E260" s="756"/>
      <c r="F260" s="756"/>
      <c r="G260" s="528">
        <f t="shared" si="908"/>
        <v>41501</v>
      </c>
      <c r="H260" s="528" t="str">
        <f t="shared" si="909"/>
        <v>6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7"/>
        <v>1</v>
      </c>
      <c r="AAF260" s="583" t="s">
        <v>185</v>
      </c>
      <c r="AAG260" s="78">
        <f>G254</f>
        <v>41501</v>
      </c>
      <c r="AAH260" s="530" t="str">
        <f>H254</f>
        <v>6  p.m.</v>
      </c>
      <c r="AAI260" s="77"/>
      <c r="AAJ260" s="57"/>
      <c r="AAK260" s="57"/>
      <c r="AAL260" s="80"/>
      <c r="AAM260" s="112"/>
      <c r="AAU260" s="44"/>
    </row>
    <row r="261" spans="1:732" s="23" customFormat="1" ht="15" collapsed="1">
      <c r="A261" s="558"/>
      <c r="B261" s="489" t="s">
        <v>221</v>
      </c>
      <c r="C261" s="168"/>
      <c r="D261" s="756" t="s">
        <v>294</v>
      </c>
      <c r="E261" s="756"/>
      <c r="F261" s="756"/>
      <c r="G261" s="528">
        <f t="shared" si="908"/>
        <v>41501</v>
      </c>
      <c r="H261" s="529" t="str">
        <f>H254</f>
        <v>6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7"/>
        <v>1</v>
      </c>
      <c r="AAF261" s="583" t="s">
        <v>185</v>
      </c>
      <c r="AAG261" s="78">
        <f>G254</f>
        <v>41501</v>
      </c>
      <c r="AAH261" s="530" t="str">
        <f>H254</f>
        <v>6  p.m.</v>
      </c>
      <c r="AAI261" s="77"/>
      <c r="AAJ261" s="57"/>
      <c r="AAK261" s="57"/>
      <c r="AAL261" s="80"/>
      <c r="AAM261" s="112"/>
      <c r="AAU261" s="44"/>
      <c r="AAV261"/>
      <c r="AAW261"/>
      <c r="AAX261"/>
      <c r="AAY261"/>
      <c r="AAZ261"/>
      <c r="ABA261"/>
      <c r="ABB261"/>
      <c r="ABC261"/>
      <c r="ABD261"/>
    </row>
    <row r="262" spans="1:732" s="23" customFormat="1" ht="15" outlineLevel="1">
      <c r="A262" s="558"/>
      <c r="B262" s="410" t="s">
        <v>180</v>
      </c>
      <c r="C262" s="168"/>
      <c r="D262" s="277" t="s">
        <v>166</v>
      </c>
      <c r="E262" s="368">
        <f>NETWORKDAYS(G262,H262,S.DDL_DEQClosed)</f>
        <v>12</v>
      </c>
      <c r="F262" s="492">
        <f t="shared" ref="F262" ca="1" si="910">NETWORKDAYS(TODAY(),H262)</f>
        <v>-26</v>
      </c>
      <c r="G262" s="526">
        <v>41409</v>
      </c>
      <c r="H262" s="526">
        <v>41428</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7"/>
        <v>1</v>
      </c>
      <c r="AAF262" s="112"/>
      <c r="AAG262" s="78">
        <f t="shared" ref="AAG262" si="911">S.BANNER.NoticeStart</f>
        <v>41369</v>
      </c>
      <c r="AAH262" s="78">
        <f>G262</f>
        <v>41409</v>
      </c>
      <c r="AAI262" s="63"/>
      <c r="AAJ262" s="57"/>
      <c r="AAK262" s="57"/>
      <c r="AAL262" s="57"/>
      <c r="AAM262" s="112"/>
      <c r="AAU262" s="44"/>
      <c r="AAV262"/>
      <c r="AAW262"/>
      <c r="AAX262"/>
      <c r="AAY262"/>
      <c r="AAZ262"/>
      <c r="ABA262"/>
      <c r="ABB262"/>
      <c r="ABC262"/>
      <c r="ABD262"/>
    </row>
    <row r="263" spans="1:732" ht="15" outlineLevel="2">
      <c r="A263" s="558"/>
      <c r="B263" s="429" t="s">
        <v>177</v>
      </c>
      <c r="C263" s="714"/>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2">IF(S.InvolveNotice=TRUE,1,0)</f>
        <v>1</v>
      </c>
      <c r="AAF263" s="583" t="s">
        <v>185</v>
      </c>
      <c r="AAG263" s="76" t="s">
        <v>0</v>
      </c>
      <c r="AAH263" s="76"/>
      <c r="AAI263" s="76"/>
      <c r="AAJ263" s="87"/>
      <c r="AAK263" s="87"/>
      <c r="AAL263" s="57"/>
      <c r="AAM263" s="112"/>
      <c r="AAN263"/>
      <c r="AAT263" s="23"/>
      <c r="AAU263" s="44"/>
    </row>
    <row r="264" spans="1:732" ht="15" outlineLevel="2">
      <c r="A264" s="558"/>
      <c r="B264" s="430" t="s">
        <v>353</v>
      </c>
      <c r="C264" s="490"/>
      <c r="D264" s="278" t="s">
        <v>376</v>
      </c>
      <c r="E264" s="368">
        <f t="shared" ref="E264:E269" si="913">NETWORKDAYS(G264,H264,S.DDL_DEQClosed)</f>
        <v>4</v>
      </c>
      <c r="F264" s="492">
        <f t="shared" ref="F264:F269" ca="1" si="914">NETWORKDAYS(TODAY(),H264)</f>
        <v>-24</v>
      </c>
      <c r="G264" s="526">
        <v>41425</v>
      </c>
      <c r="H264" s="369">
        <v>41430</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2"/>
        <v>1</v>
      </c>
      <c r="AAF264" s="112"/>
      <c r="AAG264" s="78">
        <f>H262</f>
        <v>41428</v>
      </c>
      <c r="AAH264" s="78">
        <f>G264</f>
        <v>41425</v>
      </c>
      <c r="AAI264" s="63"/>
      <c r="AAJ264" s="57"/>
      <c r="AAK264" s="57"/>
      <c r="AAL264" s="57" t="s">
        <v>0</v>
      </c>
      <c r="AAM264" s="112"/>
      <c r="AAN264"/>
      <c r="AAT264" s="23"/>
      <c r="AAU264" s="44"/>
    </row>
    <row r="265" spans="1:732" ht="15" outlineLevel="2">
      <c r="A265" s="558"/>
      <c r="B265" s="430" t="s">
        <v>103</v>
      </c>
      <c r="C265" s="490"/>
      <c r="D265" s="278" t="s">
        <v>382</v>
      </c>
      <c r="E265" s="368">
        <f t="shared" si="913"/>
        <v>4</v>
      </c>
      <c r="F265" s="492">
        <f t="shared" ca="1" si="914"/>
        <v>-21</v>
      </c>
      <c r="G265" s="526">
        <f t="shared" ref="G265:G276" si="915">AAG265</f>
        <v>41430</v>
      </c>
      <c r="H265" s="369">
        <v>41435</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2"/>
        <v>1</v>
      </c>
      <c r="AAF265" s="112"/>
      <c r="AAG265" s="78">
        <f>H264</f>
        <v>41430</v>
      </c>
      <c r="AAH265" s="78">
        <f t="shared" ref="AAH265:AAH269" si="916">G265</f>
        <v>41430</v>
      </c>
      <c r="AAI265" s="63"/>
      <c r="AAJ265" s="57"/>
      <c r="AAK265" s="57"/>
      <c r="AAL265" s="57"/>
      <c r="AAM265" s="112"/>
      <c r="AAN265"/>
      <c r="AAT265" s="23"/>
      <c r="AAU265" s="44"/>
    </row>
    <row r="266" spans="1:732" ht="15" outlineLevel="2">
      <c r="A266" s="558"/>
      <c r="B266" s="431" t="s">
        <v>104</v>
      </c>
      <c r="C266" s="490"/>
      <c r="D266" s="279" t="s">
        <v>16</v>
      </c>
      <c r="E266" s="368">
        <f t="shared" si="913"/>
        <v>5</v>
      </c>
      <c r="F266" s="492">
        <f t="shared" ca="1" si="914"/>
        <v>-17</v>
      </c>
      <c r="G266" s="526">
        <f t="shared" si="915"/>
        <v>41435</v>
      </c>
      <c r="H266" s="369">
        <v>41439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2"/>
        <v>1</v>
      </c>
      <c r="AAF266" s="112"/>
      <c r="AAG266" s="78">
        <f t="shared" ref="AAG266:AAG269" si="917">H265</f>
        <v>41435</v>
      </c>
      <c r="AAH266" s="78">
        <f t="shared" si="916"/>
        <v>41435</v>
      </c>
      <c r="AAI266" s="63"/>
      <c r="AAJ266" s="57"/>
      <c r="AAK266" s="57"/>
      <c r="AAL266" s="57"/>
      <c r="AAM266" s="112"/>
      <c r="AAN266"/>
      <c r="AAT266" s="23"/>
      <c r="AAU266" s="44"/>
    </row>
    <row r="267" spans="1:732" ht="15" outlineLevel="2">
      <c r="A267" s="558"/>
      <c r="B267" s="432" t="s">
        <v>105</v>
      </c>
      <c r="C267" s="490"/>
      <c r="D267" s="279" t="s">
        <v>16</v>
      </c>
      <c r="E267" s="368">
        <f t="shared" si="913"/>
        <v>1</v>
      </c>
      <c r="F267" s="492">
        <f t="shared" ca="1" si="914"/>
        <v>-17</v>
      </c>
      <c r="G267" s="526">
        <f t="shared" si="915"/>
        <v>41439</v>
      </c>
      <c r="H267" s="369">
        <f t="shared" ref="H267:H268" si="918">AAH267</f>
        <v>41439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2"/>
        <v>1</v>
      </c>
      <c r="AAF267" s="112"/>
      <c r="AAG267" s="78">
        <f t="shared" si="917"/>
        <v>41439</v>
      </c>
      <c r="AAH267" s="78">
        <f t="shared" si="916"/>
        <v>41439</v>
      </c>
      <c r="AAI267" s="63"/>
      <c r="AAJ267" s="57"/>
      <c r="AAK267" s="57"/>
      <c r="AAL267" s="57"/>
      <c r="AAM267" s="112"/>
      <c r="AAN267"/>
      <c r="AAT267" s="23"/>
      <c r="AAU267" s="44"/>
    </row>
    <row r="268" spans="1:732" ht="15" outlineLevel="2">
      <c r="A268" s="558"/>
      <c r="B268" s="433" t="s">
        <v>106</v>
      </c>
      <c r="C268" s="490"/>
      <c r="D268" s="279" t="s">
        <v>16</v>
      </c>
      <c r="E268" s="368">
        <f t="shared" si="913"/>
        <v>1</v>
      </c>
      <c r="F268" s="492">
        <f t="shared" ca="1" si="914"/>
        <v>-17</v>
      </c>
      <c r="G268" s="526">
        <f t="shared" si="915"/>
        <v>41439</v>
      </c>
      <c r="H268" s="369">
        <f t="shared" si="918"/>
        <v>41439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2"/>
        <v>1</v>
      </c>
      <c r="AAF268" s="112"/>
      <c r="AAG268" s="78">
        <f t="shared" si="917"/>
        <v>41439</v>
      </c>
      <c r="AAH268" s="78">
        <f t="shared" si="916"/>
        <v>41439</v>
      </c>
      <c r="AAI268" s="63"/>
      <c r="AAJ268" s="57"/>
      <c r="AAK268" s="57"/>
      <c r="AAL268" s="57"/>
      <c r="AAM268" s="112"/>
      <c r="AAN268"/>
      <c r="AAT268" s="23"/>
      <c r="AAU268" s="44"/>
    </row>
    <row r="269" spans="1:732" ht="15" outlineLevel="2">
      <c r="A269" s="558"/>
      <c r="B269" s="434" t="s">
        <v>107</v>
      </c>
      <c r="C269" s="490"/>
      <c r="D269" s="279" t="s">
        <v>16</v>
      </c>
      <c r="E269" s="368">
        <f t="shared" si="913"/>
        <v>5</v>
      </c>
      <c r="F269" s="492">
        <f t="shared" ca="1" si="914"/>
        <v>-13</v>
      </c>
      <c r="G269" s="526">
        <f t="shared" si="915"/>
        <v>41439</v>
      </c>
      <c r="H269" s="369">
        <v>41445</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2"/>
        <v>1</v>
      </c>
      <c r="AAF269" s="112"/>
      <c r="AAG269" s="78">
        <f t="shared" si="917"/>
        <v>41439</v>
      </c>
      <c r="AAH269" s="78">
        <f t="shared" si="916"/>
        <v>41439</v>
      </c>
      <c r="AAI269" s="63"/>
      <c r="AAJ269" s="57"/>
      <c r="AAK269" s="57"/>
      <c r="AAL269" s="57"/>
      <c r="AAM269" s="112"/>
      <c r="AAN269"/>
      <c r="AAT269" s="23"/>
      <c r="AAU269" s="44"/>
    </row>
    <row r="270" spans="1:732" ht="15" outlineLevel="2">
      <c r="A270" s="558"/>
      <c r="B270" s="435" t="s">
        <v>176</v>
      </c>
      <c r="C270" s="714"/>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2"/>
        <v>1</v>
      </c>
      <c r="AAF270" s="583" t="s">
        <v>185</v>
      </c>
      <c r="AAG270" s="63"/>
      <c r="AAH270" s="63"/>
      <c r="AAI270" s="63"/>
      <c r="AAJ270" s="57"/>
      <c r="AAK270" s="57"/>
      <c r="AAL270" s="57"/>
      <c r="AAM270" s="112"/>
      <c r="AAN270"/>
      <c r="AAT270" s="23"/>
      <c r="AAU270" s="44"/>
    </row>
    <row r="271" spans="1:732" ht="15" outlineLevel="1">
      <c r="A271" s="558"/>
      <c r="B271" s="415" t="s">
        <v>285</v>
      </c>
      <c r="C271" s="168"/>
      <c r="D271" s="277" t="s">
        <v>158</v>
      </c>
      <c r="E271" s="368">
        <f>NETWORKDAYS(G271,H271,S.DDL_DEQClosed)</f>
        <v>48</v>
      </c>
      <c r="F271" s="492">
        <f t="shared" ref="F271:F288" ca="1" si="919">NETWORKDAYS(TODAY(),H271)</f>
        <v>-17</v>
      </c>
      <c r="G271" s="369">
        <f t="shared" si="915"/>
        <v>41369</v>
      </c>
      <c r="H271" s="369">
        <f>AAH271</f>
        <v>41439</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2"/>
        <v>1</v>
      </c>
      <c r="AAF271" s="112"/>
      <c r="AAG271" s="78">
        <f>S.BANNER.NoticeStart</f>
        <v>41369</v>
      </c>
      <c r="AAH271" s="78">
        <f>G300</f>
        <v>41439</v>
      </c>
      <c r="AAI271" s="63"/>
      <c r="AAJ271" s="57"/>
      <c r="AAK271" s="57"/>
      <c r="AAL271" s="57"/>
      <c r="AAM271" s="112"/>
      <c r="AAN271"/>
      <c r="AAT271" s="23"/>
      <c r="AAU271" s="44"/>
    </row>
    <row r="272" spans="1:732" ht="87.75" customHeight="1" outlineLevel="1">
      <c r="A272" s="558"/>
      <c r="B272" s="782" t="s">
        <v>356</v>
      </c>
      <c r="C272" s="782"/>
      <c r="D272" s="782"/>
      <c r="E272" s="782"/>
      <c r="F272" s="782"/>
      <c r="G272" s="782"/>
      <c r="H272" s="782"/>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2"/>
        <v>1</v>
      </c>
      <c r="AAF272" s="583" t="s">
        <v>185</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374</v>
      </c>
      <c r="E273" s="368">
        <f t="shared" ref="E273:E276" si="920">NETWORKDAYS(G273,H273,S.DDL_DEQClosed)</f>
        <v>48</v>
      </c>
      <c r="F273" s="492">
        <f t="shared" ca="1" si="919"/>
        <v>-17</v>
      </c>
      <c r="G273" s="369">
        <f t="shared" si="915"/>
        <v>41369</v>
      </c>
      <c r="H273" s="369">
        <f>AAH273</f>
        <v>41439</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2"/>
        <v>1</v>
      </c>
      <c r="AAF273" s="112"/>
      <c r="AAG273" s="78">
        <f>G271</f>
        <v>41369</v>
      </c>
      <c r="AAH273" s="78">
        <f>H271</f>
        <v>41439</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72</v>
      </c>
      <c r="D274" s="277" t="s">
        <v>158</v>
      </c>
      <c r="E274" s="368">
        <f t="shared" si="920"/>
        <v>48</v>
      </c>
      <c r="F274" s="492">
        <f t="shared" ca="1" si="919"/>
        <v>-17</v>
      </c>
      <c r="G274" s="369">
        <f t="shared" si="915"/>
        <v>41369</v>
      </c>
      <c r="H274" s="369">
        <f>AAH274</f>
        <v>41439</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2"/>
        <v>1</v>
      </c>
      <c r="AAF274" s="112"/>
      <c r="AAG274" s="78">
        <f>G271</f>
        <v>41369</v>
      </c>
      <c r="AAH274" s="78">
        <f>H271</f>
        <v>41439</v>
      </c>
      <c r="AAI274" s="77"/>
      <c r="AAJ274" s="77"/>
      <c r="AAK274" s="77"/>
      <c r="AAL274" s="89" t="str">
        <f>"b. "&amp;S.CodeName&amp;"PROPOSED.RULES"</f>
        <v>b. PROPOSED.RULES</v>
      </c>
      <c r="AAM274" s="112"/>
      <c r="AAN274"/>
      <c r="AAT274" s="23"/>
      <c r="AAU274" s="44"/>
    </row>
    <row r="275" spans="1:732" s="23" customFormat="1" ht="15" outlineLevel="1">
      <c r="A275" s="558"/>
      <c r="B275" s="417" t="s">
        <v>190</v>
      </c>
      <c r="C275" s="168"/>
      <c r="D275" s="278" t="s">
        <v>158</v>
      </c>
      <c r="E275" s="368">
        <f t="shared" si="920"/>
        <v>48</v>
      </c>
      <c r="F275" s="492">
        <f t="shared" ref="F275" ca="1" si="921">NETWORKDAYS(TODAY(),H275)</f>
        <v>-17</v>
      </c>
      <c r="G275" s="369">
        <f t="shared" si="915"/>
        <v>41369</v>
      </c>
      <c r="H275" s="369">
        <f>AAH275</f>
        <v>41439</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2"/>
        <v>1</v>
      </c>
      <c r="AAF275" s="112"/>
      <c r="AAG275" s="78">
        <f>G271</f>
        <v>41369</v>
      </c>
      <c r="AAH275" s="78">
        <f>H271</f>
        <v>41439</v>
      </c>
      <c r="AAI275" s="77"/>
      <c r="AAJ275" s="77"/>
      <c r="AAK275" s="77"/>
      <c r="AAL275" s="57"/>
      <c r="AAM275" s="112"/>
      <c r="AAU275" s="44"/>
      <c r="AAV275"/>
      <c r="AAW275"/>
      <c r="AAX275"/>
      <c r="AAY275"/>
      <c r="AAZ275"/>
      <c r="ABA275"/>
      <c r="ABB275"/>
      <c r="ABC275"/>
      <c r="ABD275"/>
    </row>
    <row r="276" spans="1:732" ht="15" outlineLevel="1">
      <c r="A276" s="558"/>
      <c r="B276" s="418" t="s">
        <v>388</v>
      </c>
      <c r="C276" s="168"/>
      <c r="D276" s="277" t="s">
        <v>374</v>
      </c>
      <c r="E276" s="368">
        <f t="shared" si="920"/>
        <v>48</v>
      </c>
      <c r="F276" s="492">
        <f t="shared" ca="1" si="919"/>
        <v>-17</v>
      </c>
      <c r="G276" s="369">
        <f t="shared" si="915"/>
        <v>41369</v>
      </c>
      <c r="H276" s="369">
        <f>AAH276</f>
        <v>41439</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2"/>
        <v>1</v>
      </c>
      <c r="AAF276" s="112"/>
      <c r="AAG276" s="78">
        <f>G271</f>
        <v>41369</v>
      </c>
      <c r="AAH276" s="78">
        <f>H271</f>
        <v>41439</v>
      </c>
      <c r="AAI276" s="77"/>
      <c r="AAJ276" s="77"/>
      <c r="AAK276" s="77"/>
      <c r="AAL276" s="57"/>
      <c r="AAM276" s="112"/>
      <c r="AAN276"/>
      <c r="AAT276" s="23"/>
      <c r="AAU276" s="44"/>
    </row>
    <row r="277" spans="1:732" ht="15"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2"/>
        <v>1</v>
      </c>
      <c r="AAF277" s="583" t="s">
        <v>185</v>
      </c>
      <c r="AAG277" s="76"/>
      <c r="AAH277" s="76"/>
      <c r="AAI277" s="77"/>
      <c r="AAJ277" s="77"/>
      <c r="AAK277" s="77"/>
      <c r="AAL277" s="57"/>
      <c r="AAM277" s="112"/>
      <c r="AAN277"/>
      <c r="AAT277" s="23"/>
      <c r="AAU277" s="44"/>
    </row>
    <row r="278" spans="1:732" ht="15"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2"/>
        <v>1</v>
      </c>
      <c r="AAF278" s="583" t="s">
        <v>185</v>
      </c>
      <c r="AAG278" s="76"/>
      <c r="AAH278" s="76"/>
      <c r="AAI278" s="76"/>
      <c r="AAJ278" s="57"/>
      <c r="AAK278" s="57"/>
      <c r="AAL278" s="57"/>
      <c r="AAM278" s="112"/>
      <c r="AAN278"/>
      <c r="AAT278" s="23"/>
      <c r="AAU278" s="44"/>
    </row>
    <row r="279" spans="1:732" ht="15"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2"/>
        <v>1</v>
      </c>
      <c r="AAF279" s="583" t="s">
        <v>185</v>
      </c>
      <c r="AAG279" s="76"/>
      <c r="AAH279" s="76"/>
      <c r="AAI279" s="76"/>
      <c r="AAJ279" s="57"/>
      <c r="AAK279" s="57"/>
      <c r="AAL279" s="57"/>
      <c r="AAM279" s="112"/>
      <c r="AAN279"/>
      <c r="AAT279" s="23"/>
      <c r="AAU279" s="44"/>
    </row>
    <row r="280" spans="1:732" ht="16.5"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2"/>
        <v>1</v>
      </c>
      <c r="AAF280" s="583" t="s">
        <v>185</v>
      </c>
      <c r="AAG280" s="76"/>
      <c r="AAH280" s="76"/>
      <c r="AAI280" s="76" t="s">
        <v>0</v>
      </c>
      <c r="AAJ280" s="57"/>
      <c r="AAK280" s="57"/>
      <c r="AAL280" s="57"/>
      <c r="AAM280" s="112"/>
      <c r="AAN280"/>
      <c r="AAT280" s="23"/>
      <c r="AAU280" s="44"/>
    </row>
    <row r="281" spans="1:732" ht="15"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2"/>
        <v>1</v>
      </c>
      <c r="AAF281" s="583" t="s">
        <v>185</v>
      </c>
      <c r="AAG281" s="76"/>
      <c r="AAH281" s="76"/>
      <c r="AAI281" s="76"/>
      <c r="AAJ281" s="57"/>
      <c r="AAK281" s="57"/>
      <c r="AAL281" s="57"/>
      <c r="AAM281" s="112"/>
      <c r="AAN281"/>
      <c r="AAT281" s="23"/>
      <c r="AAU281" s="44"/>
    </row>
    <row r="282" spans="1:732" ht="15" hidden="1" outlineLevel="1">
      <c r="A282" s="558"/>
      <c r="B282" s="419" t="s">
        <v>362</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0</v>
      </c>
      <c r="AAF282" s="583" t="s">
        <v>185</v>
      </c>
      <c r="AAG282" s="76"/>
      <c r="AAH282" s="76"/>
      <c r="AAI282" s="76"/>
      <c r="AAJ282" s="57"/>
      <c r="AAK282" s="57"/>
      <c r="AAL282" s="88" t="str">
        <f>IF(S.InvolveFee=TRUE,"Integrate FEE.INSERT","Delete Fee section")</f>
        <v>Delete Fee section</v>
      </c>
      <c r="AAM282" s="112"/>
      <c r="AAN282"/>
      <c r="AAT282" s="23"/>
      <c r="AAU282" s="44"/>
    </row>
    <row r="283" spans="1:732" ht="15"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185</v>
      </c>
      <c r="AAG283" s="76"/>
      <c r="AAH283" s="76"/>
      <c r="AAI283" s="76"/>
      <c r="AAJ283" s="57"/>
      <c r="AAK283" s="57"/>
      <c r="AAL283" s="57"/>
      <c r="AAM283" s="112"/>
      <c r="AAN283"/>
      <c r="AAT283" s="23"/>
      <c r="AAU283" s="44"/>
    </row>
    <row r="284" spans="1:732" ht="15" outlineLevel="1">
      <c r="A284" s="558"/>
      <c r="B284" s="410" t="str">
        <f>AAL284</f>
        <v>d. SUPPORTING.DOCS</v>
      </c>
      <c r="C284" s="168"/>
      <c r="D284" s="277" t="s">
        <v>374</v>
      </c>
      <c r="E284" s="368">
        <f>NETWORKDAYS(G284,H284,S.DDL_DEQClosed)</f>
        <v>48</v>
      </c>
      <c r="F284" s="492">
        <f t="shared" ca="1" si="919"/>
        <v>-17</v>
      </c>
      <c r="G284" s="369">
        <f t="shared" ref="G284" si="922">AAG284</f>
        <v>41369</v>
      </c>
      <c r="H284" s="369">
        <f>AAH284</f>
        <v>41439</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41439</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49</v>
      </c>
      <c r="E285" s="368">
        <f t="shared" ref="E285:E288" si="923">NETWORKDAYS(G285,H285,S.DDL_DEQClosed)</f>
        <v>48</v>
      </c>
      <c r="F285" s="492">
        <f t="shared" ca="1" si="919"/>
        <v>-17</v>
      </c>
      <c r="G285" s="369">
        <f t="shared" ref="G285" si="924">AAG285</f>
        <v>41369</v>
      </c>
      <c r="H285" s="369">
        <f>AAH285</f>
        <v>41439</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41439</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72</v>
      </c>
      <c r="D286" s="277" t="s">
        <v>377</v>
      </c>
      <c r="E286" s="368">
        <f t="shared" si="923"/>
        <v>11</v>
      </c>
      <c r="F286" s="492">
        <f t="shared" ca="1" si="919"/>
        <v>-17</v>
      </c>
      <c r="G286" s="369">
        <v>41425</v>
      </c>
      <c r="H286" s="369">
        <f>AAH286</f>
        <v>41439</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41439</v>
      </c>
      <c r="AAI286" s="77"/>
      <c r="AAJ286" s="77"/>
      <c r="AAK286" s="77"/>
      <c r="AAL286" s="89" t="str">
        <f>"Draft "&amp;S.CodeName&amp;"##AD if needed"</f>
        <v>Draft ##AD if needed</v>
      </c>
      <c r="AAM286" s="112"/>
      <c r="AAN286"/>
      <c r="AAT286" s="23"/>
      <c r="AAU286" s="44"/>
    </row>
    <row r="287" spans="1:732" ht="15" outlineLevel="1">
      <c r="A287" s="558"/>
      <c r="B287" s="416" t="s">
        <v>108</v>
      </c>
      <c r="C287" s="168"/>
      <c r="D287" s="278" t="s">
        <v>158</v>
      </c>
      <c r="E287" s="368">
        <f t="shared" si="923"/>
        <v>18</v>
      </c>
      <c r="F287" s="492">
        <f t="shared" ca="1" si="919"/>
        <v>-17</v>
      </c>
      <c r="G287" s="369">
        <v>41414</v>
      </c>
      <c r="H287" s="369">
        <f>AAH287</f>
        <v>41439</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41439</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314</v>
      </c>
      <c r="C288" s="239"/>
      <c r="D288" s="277" t="s">
        <v>158</v>
      </c>
      <c r="E288" s="368">
        <f t="shared" si="923"/>
        <v>48</v>
      </c>
      <c r="F288" s="492">
        <f t="shared" ca="1" si="919"/>
        <v>-17</v>
      </c>
      <c r="G288" s="369">
        <f t="shared" ref="G288" si="925">AAG288</f>
        <v>41369</v>
      </c>
      <c r="H288" s="369">
        <f>AAH288</f>
        <v>41439</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41439</v>
      </c>
      <c r="AAI288" s="77"/>
      <c r="AAJ288" s="662" t="s">
        <v>0</v>
      </c>
      <c r="AAK288" s="77"/>
      <c r="AAL288" s="57"/>
      <c r="AAM288" s="112"/>
      <c r="AAN288"/>
      <c r="AAT288" s="23"/>
      <c r="AAU288" s="44"/>
    </row>
    <row r="289" spans="1:732" ht="15.75" hidden="1" customHeight="1" outlineLevel="1">
      <c r="A289" s="558"/>
      <c r="B289" s="422" t="s">
        <v>281</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0</v>
      </c>
      <c r="AAF289" s="583" t="s">
        <v>185</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282</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185</v>
      </c>
      <c r="AAG290" s="76"/>
      <c r="AAH290" s="76"/>
      <c r="AAI290" s="77"/>
      <c r="AAJ290" s="77"/>
      <c r="AAK290" s="77"/>
      <c r="AAL290" s="96" t="str">
        <f>IF(S.InvolveCommittee=TRUE,"2. Fiscal impact statement","Fiscal impact statement")</f>
        <v>Fiscal impact statement</v>
      </c>
      <c r="AAM290" s="112"/>
      <c r="AAN290"/>
      <c r="AAT290" s="23"/>
      <c r="AAU290" s="44"/>
    </row>
    <row r="291" spans="1:732" ht="15.75" customHeight="1" outlineLevel="1">
      <c r="A291" s="558"/>
      <c r="B291" s="422" t="s">
        <v>283</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185</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284</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6">IF(S.InvolveNotice=TRUE,1,0)</f>
        <v>1</v>
      </c>
      <c r="AAF292" s="583" t="s">
        <v>185</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313</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6"/>
        <v>1</v>
      </c>
      <c r="AAF293" s="583" t="s">
        <v>185</v>
      </c>
      <c r="AAG293" s="76"/>
      <c r="AAH293" s="76"/>
      <c r="AAI293" s="77"/>
      <c r="AAJ293" s="77"/>
      <c r="AAK293" s="77"/>
      <c r="AAL293" s="80"/>
      <c r="AAM293" s="112"/>
      <c r="AAN293"/>
      <c r="AAT293" s="23"/>
      <c r="AAU293" s="44"/>
    </row>
    <row r="294" spans="1:732" ht="15.75" customHeight="1" outlineLevel="1">
      <c r="A294" s="558"/>
      <c r="B294" s="424" t="s">
        <v>79</v>
      </c>
      <c r="C294" s="239"/>
      <c r="D294" s="279" t="s">
        <v>16</v>
      </c>
      <c r="E294" s="368">
        <f>NETWORKDAYS(G294,H294,S.DDL_DEQClosed)</f>
        <v>3</v>
      </c>
      <c r="F294" s="492">
        <f ca="1">NETWORKDAYS(TODAY(),H294)</f>
        <v>-25</v>
      </c>
      <c r="G294" s="369">
        <v>41425</v>
      </c>
      <c r="H294" s="369">
        <v>41429</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6"/>
        <v>1</v>
      </c>
      <c r="AAF294" s="112"/>
      <c r="AAG294" s="78">
        <f>H288</f>
        <v>41439</v>
      </c>
      <c r="AAH294" s="78">
        <f t="shared" ref="AAH294:AAH297" si="927">G294</f>
        <v>41425</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3</v>
      </c>
      <c r="F295" s="492">
        <f ca="1">NETWORKDAYS(TODAY(),H295)</f>
        <v>-20</v>
      </c>
      <c r="G295" s="369">
        <v>41432</v>
      </c>
      <c r="H295" s="369">
        <v>41436</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6"/>
        <v>1</v>
      </c>
      <c r="AAF295" s="112"/>
      <c r="AAG295" s="78">
        <f>H294</f>
        <v>41429</v>
      </c>
      <c r="AAH295" s="78">
        <f t="shared" si="927"/>
        <v>41432</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-18</v>
      </c>
      <c r="G296" s="369">
        <v>41438</v>
      </c>
      <c r="H296" s="369">
        <v>41438</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6"/>
        <v>1</v>
      </c>
      <c r="AAF296" s="112"/>
      <c r="AAG296" s="78">
        <f>H295</f>
        <v>41436</v>
      </c>
      <c r="AAH296" s="78">
        <f t="shared" si="927"/>
        <v>41438</v>
      </c>
      <c r="AAI296" s="77"/>
      <c r="AAJ296" s="77"/>
      <c r="AAK296" s="77"/>
      <c r="AAL296" s="57"/>
      <c r="AAM296" s="112"/>
      <c r="AAN296"/>
      <c r="AAT296" s="23"/>
      <c r="AAU296" s="44"/>
    </row>
    <row r="297" spans="1:732" ht="15.75" customHeight="1" outlineLevel="1">
      <c r="A297" s="558"/>
      <c r="B297" s="427" t="s">
        <v>82</v>
      </c>
      <c r="C297" s="239"/>
      <c r="D297" s="279" t="s">
        <v>16</v>
      </c>
      <c r="E297" s="368">
        <f>NETWORKDAYS(G297,H297,S.DDL_DEQClosed)</f>
        <v>1</v>
      </c>
      <c r="F297" s="492">
        <f ca="1">NETWORKDAYS(TODAY(),H297)</f>
        <v>-18</v>
      </c>
      <c r="G297" s="369">
        <v>41438</v>
      </c>
      <c r="H297" s="369">
        <v>41438</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6"/>
        <v>1</v>
      </c>
      <c r="AAF297" s="112"/>
      <c r="AAG297" s="78">
        <f>H296</f>
        <v>41438</v>
      </c>
      <c r="AAH297" s="78">
        <f t="shared" si="927"/>
        <v>41438</v>
      </c>
      <c r="AAI297" s="77"/>
      <c r="AAJ297" s="77"/>
      <c r="AAK297" s="77"/>
      <c r="AAL297" s="57"/>
      <c r="AAM297" s="112"/>
      <c r="AAN297"/>
      <c r="AAT297" s="23"/>
      <c r="AAU297" s="44"/>
    </row>
    <row r="298" spans="1:732" ht="86.25" customHeight="1" outlineLevel="1">
      <c r="A298" s="558"/>
      <c r="B298" s="783" t="s">
        <v>355</v>
      </c>
      <c r="C298" s="783"/>
      <c r="D298" s="783"/>
      <c r="E298" s="783"/>
      <c r="F298" s="783"/>
      <c r="G298" s="783"/>
      <c r="H298" s="783"/>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6"/>
        <v>1</v>
      </c>
      <c r="AAF298" s="583" t="s">
        <v>185</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6"/>
        <v>1</v>
      </c>
      <c r="AAF299" s="583" t="s">
        <v>185</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91</v>
      </c>
      <c r="C300" s="168"/>
      <c r="D300" s="279" t="s">
        <v>378</v>
      </c>
      <c r="E300" s="368">
        <f>NETWORKDAYS(G300,H300,S.DDL_DEQClosed)</f>
        <v>1</v>
      </c>
      <c r="F300" s="492">
        <f ca="1">NETWORKDAYS(TODAY(),H300)</f>
        <v>-17</v>
      </c>
      <c r="G300" s="369">
        <f t="shared" ref="G300:H300" si="928">AAG300</f>
        <v>41439</v>
      </c>
      <c r="H300" s="370">
        <f t="shared" si="928"/>
        <v>41439</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6"/>
        <v>1</v>
      </c>
      <c r="AAF300" s="112"/>
      <c r="AAG300" s="78">
        <f>G301</f>
        <v>41439</v>
      </c>
      <c r="AAH300" s="78">
        <f>G300</f>
        <v>41439</v>
      </c>
      <c r="AAI300" s="77"/>
      <c r="AAJ300" s="662" t="s">
        <v>0</v>
      </c>
      <c r="AAK300" s="77"/>
      <c r="AAL300" s="57"/>
      <c r="AAM300" s="112"/>
      <c r="AAN300"/>
      <c r="AAT300" s="23"/>
      <c r="AAU300" s="44"/>
    </row>
    <row r="301" spans="1:732" s="23" customFormat="1" ht="15" outlineLevel="1">
      <c r="A301" s="558"/>
      <c r="B301" s="412" t="s">
        <v>175</v>
      </c>
      <c r="C301" s="168"/>
      <c r="D301" s="277" t="s">
        <v>189</v>
      </c>
      <c r="E301" s="368">
        <f>NETWORKDAYS(G301,H301,S.DDL_DEQClosed)</f>
        <v>1</v>
      </c>
      <c r="F301" s="492">
        <f ca="1">NETWORKDAYS(TODAY(),H301)</f>
        <v>-17</v>
      </c>
      <c r="G301" s="496">
        <f>AAG301</f>
        <v>41439</v>
      </c>
      <c r="H301" s="497">
        <f>AAH301</f>
        <v>41439</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6"/>
        <v>1</v>
      </c>
      <c r="AAF301" s="112"/>
      <c r="AAG301" s="78">
        <f>WORKDAY(S.SubmitNoticeToSOS,-20,S.DDL_DEQClosed)</f>
        <v>41439</v>
      </c>
      <c r="AAH301" s="78">
        <f>G301</f>
        <v>41439</v>
      </c>
      <c r="AAI301" s="77"/>
      <c r="AAJ301" s="77"/>
      <c r="AAK301" s="77"/>
      <c r="AAL301" s="57"/>
      <c r="AAM301" s="112"/>
      <c r="AAU301" s="44"/>
      <c r="AAV301"/>
      <c r="AAW301"/>
      <c r="AAX301"/>
      <c r="AAY301"/>
      <c r="AAZ301"/>
      <c r="ABA301"/>
      <c r="ABB301"/>
      <c r="ABC301"/>
      <c r="ABD301"/>
    </row>
    <row r="302" spans="1:732" ht="15" outlineLevel="1">
      <c r="A302" s="558"/>
      <c r="B302" s="413" t="s">
        <v>33</v>
      </c>
      <c r="C302" s="691"/>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6"/>
        <v>1</v>
      </c>
      <c r="AAF302" s="583" t="s">
        <v>185</v>
      </c>
      <c r="AAG302" s="76"/>
      <c r="AAH302" s="76"/>
      <c r="AAI302" s="77"/>
      <c r="AAJ302" s="77"/>
      <c r="AAK302" s="77"/>
      <c r="AAL302" s="57"/>
      <c r="AAM302" s="112"/>
      <c r="AAN302"/>
      <c r="AAT302" s="23"/>
      <c r="AAU302" s="44"/>
    </row>
    <row r="303" spans="1:732" ht="15.75" customHeight="1" outlineLevel="1">
      <c r="A303" s="558"/>
      <c r="B303" s="413" t="s">
        <v>155</v>
      </c>
      <c r="C303" s="691"/>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6"/>
        <v>1</v>
      </c>
      <c r="AAF303" s="583" t="s">
        <v>185</v>
      </c>
      <c r="AAG303" s="76"/>
      <c r="AAH303" s="76"/>
      <c r="AAI303" s="77" t="s">
        <v>0</v>
      </c>
      <c r="AAJ303" s="77"/>
      <c r="AAK303" s="77"/>
      <c r="AAL303" s="57"/>
      <c r="AAM303" s="112"/>
      <c r="AAN303"/>
      <c r="AAT303" s="23"/>
      <c r="AAU303" s="44"/>
    </row>
    <row r="304" spans="1:732" ht="15" outlineLevel="1">
      <c r="A304" s="558"/>
      <c r="B304" s="414" t="s">
        <v>186</v>
      </c>
      <c r="C304" s="168"/>
      <c r="D304" s="278" t="s">
        <v>158</v>
      </c>
      <c r="E304" s="368">
        <f>NETWORKDAYS(G304,H304,S.DDL_DEQClosed)</f>
        <v>1</v>
      </c>
      <c r="F304" s="492">
        <f ca="1">NETWORKDAYS(TODAY(),H304)</f>
        <v>-12</v>
      </c>
      <c r="G304" s="497">
        <f t="shared" ref="G304:H306" si="929">AAG304</f>
        <v>41446</v>
      </c>
      <c r="H304" s="496">
        <f t="shared" si="929"/>
        <v>41446</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6"/>
        <v>1</v>
      </c>
      <c r="AAF304" s="112"/>
      <c r="AAG304" s="78">
        <f>H304</f>
        <v>41446</v>
      </c>
      <c r="AAH304" s="78">
        <f>WORKDAY(G301,5,S.DDL_DEQClosed)</f>
        <v>41446</v>
      </c>
      <c r="AAI304" s="77"/>
      <c r="AAJ304" s="77"/>
      <c r="AAK304" s="77"/>
      <c r="AAL304" s="57"/>
      <c r="AAM304" s="112"/>
      <c r="AAN304"/>
      <c r="AAT304" s="23"/>
      <c r="AAU304" s="44"/>
    </row>
    <row r="305" spans="1:732" ht="15" outlineLevel="1">
      <c r="A305" s="558"/>
      <c r="B305" s="415" t="s">
        <v>68</v>
      </c>
      <c r="C305" s="168"/>
      <c r="D305" s="277" t="s">
        <v>374</v>
      </c>
      <c r="E305" s="368">
        <f>NETWORKDAYS(G305,H305,S.DDL_DEQClosed)</f>
        <v>7</v>
      </c>
      <c r="F305" s="492">
        <f ca="1">NETWORKDAYS(TODAY(),H305)</f>
        <v>-6</v>
      </c>
      <c r="G305" s="496">
        <f t="shared" si="929"/>
        <v>41446</v>
      </c>
      <c r="H305" s="496">
        <v>41456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6"/>
        <v>1</v>
      </c>
      <c r="AAF305" s="112"/>
      <c r="AAG305" s="78">
        <f>H304</f>
        <v>41446</v>
      </c>
      <c r="AAH305" s="78">
        <f>G308</f>
        <v>41464</v>
      </c>
      <c r="AAI305" s="77"/>
      <c r="AAJ305" s="77"/>
      <c r="AAK305" s="77"/>
      <c r="AAL305" s="57"/>
      <c r="AAM305" s="112"/>
      <c r="AAN305"/>
      <c r="AAT305" s="23"/>
      <c r="AAU305" s="44"/>
    </row>
    <row r="306" spans="1:732" ht="15" outlineLevel="1">
      <c r="A306" s="558"/>
      <c r="B306" s="415" t="s">
        <v>51</v>
      </c>
      <c r="C306" s="168"/>
      <c r="D306" s="277" t="s">
        <v>158</v>
      </c>
      <c r="E306" s="368">
        <f>NETWORKDAYS(G306,H306,S.DDL_DEQClosed)</f>
        <v>9</v>
      </c>
      <c r="F306" s="492">
        <f ca="1">NETWORKDAYS(TODAY(),H306)</f>
        <v>-4</v>
      </c>
      <c r="G306" s="496">
        <f t="shared" si="929"/>
        <v>41446</v>
      </c>
      <c r="H306" s="496">
        <f t="shared" si="929"/>
        <v>41458</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6"/>
        <v>1</v>
      </c>
      <c r="AAF306" s="112"/>
      <c r="AAG306" s="78">
        <f>H304</f>
        <v>41446</v>
      </c>
      <c r="AAH306" s="78">
        <f>G309</f>
        <v>41458</v>
      </c>
      <c r="AAI306" s="77"/>
      <c r="AAJ306" s="77"/>
      <c r="AAK306" s="77"/>
      <c r="AAL306" s="57"/>
      <c r="AAM306" s="112"/>
      <c r="AAN306"/>
      <c r="AAT306" s="23"/>
      <c r="AAU306" s="44"/>
    </row>
    <row r="307" spans="1:732" ht="15" outlineLevel="1">
      <c r="A307" s="558"/>
      <c r="B307" s="671" t="s">
        <v>338</v>
      </c>
      <c r="C307" s="168"/>
      <c r="D307" s="277" t="s">
        <v>395</v>
      </c>
      <c r="E307" s="368">
        <f t="shared" ref="E307:E309" si="930">NETWORKDAYS(G307,H307,S.DDL_DEQClosed)</f>
        <v>3</v>
      </c>
      <c r="F307" s="492">
        <f t="shared" ref="F307:F312" ca="1" si="931">NETWORKDAYS(TODAY(),H307)</f>
        <v>4</v>
      </c>
      <c r="G307" s="369">
        <f t="shared" ref="G307:H309" si="932">AAG307</f>
        <v>41464</v>
      </c>
      <c r="H307" s="369">
        <f>AAH307</f>
        <v>41466</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6"/>
        <v>1</v>
      </c>
      <c r="AAF307" s="112"/>
      <c r="AAG307" s="78">
        <f>WORKDAY(S.MgrNoticeApproval,-2,S.DDL_DEQClosed)</f>
        <v>41464</v>
      </c>
      <c r="AAH307" s="78">
        <f>S.MgrNoticeApproval</f>
        <v>41466</v>
      </c>
      <c r="AAI307" s="77"/>
      <c r="AAJ307" s="77"/>
      <c r="AAK307" s="77"/>
      <c r="AAL307" s="89" t="str">
        <f>"Obtain "&amp;S.CodeName&amp;" BUDGET-REVIEW.FISCAL.4.00"</f>
        <v>Obtain  BUDGET-REVIEW.FISCAL.4.00</v>
      </c>
      <c r="AAM307" s="112"/>
      <c r="AAN307"/>
      <c r="AAT307" s="23"/>
      <c r="AAU307" s="44"/>
    </row>
    <row r="308" spans="1:732" ht="15" outlineLevel="1">
      <c r="A308" s="558"/>
      <c r="B308" s="416" t="s">
        <v>339</v>
      </c>
      <c r="C308" s="168"/>
      <c r="D308" s="277" t="s">
        <v>158</v>
      </c>
      <c r="E308" s="368">
        <f t="shared" si="930"/>
        <v>1</v>
      </c>
      <c r="F308" s="492">
        <f t="shared" ca="1" si="931"/>
        <v>2</v>
      </c>
      <c r="G308" s="369">
        <f t="shared" si="932"/>
        <v>41464</v>
      </c>
      <c r="H308" s="370">
        <f t="shared" si="932"/>
        <v>41464</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6"/>
        <v>1</v>
      </c>
      <c r="AAF308" s="112"/>
      <c r="AAG308" s="78">
        <f>AAG307</f>
        <v>41464</v>
      </c>
      <c r="AAH308" s="78">
        <f t="shared" ref="AAH308:AAH310" si="933">G308</f>
        <v>41464</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316</v>
      </c>
      <c r="C309" s="168"/>
      <c r="D309" s="279" t="s">
        <v>315</v>
      </c>
      <c r="E309" s="368">
        <f t="shared" si="930"/>
        <v>6</v>
      </c>
      <c r="F309" s="492">
        <f t="shared" ca="1" si="931"/>
        <v>4</v>
      </c>
      <c r="G309" s="369">
        <v>41458</v>
      </c>
      <c r="H309" s="369">
        <f t="shared" si="932"/>
        <v>41466</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6"/>
        <v>1</v>
      </c>
      <c r="AAF309" s="112"/>
      <c r="AAG309" s="78">
        <f>WORKDAY(AAG310,-2,S.DDL_DEQClosed)</f>
        <v>41464</v>
      </c>
      <c r="AAH309" s="78">
        <f>G310</f>
        <v>41466</v>
      </c>
      <c r="AAI309" s="77"/>
      <c r="AAJ309" s="77"/>
      <c r="AAK309" s="77"/>
      <c r="AAL309" s="57"/>
      <c r="AAM309" s="112"/>
      <c r="AAN309"/>
      <c r="AAT309" s="23"/>
      <c r="AAU309" s="44"/>
    </row>
    <row r="310" spans="1:732" ht="15.75" customHeight="1" outlineLevel="1">
      <c r="A310" s="558"/>
      <c r="B310" s="415" t="s">
        <v>289</v>
      </c>
      <c r="C310" s="168"/>
      <c r="D310" s="277" t="s">
        <v>158</v>
      </c>
      <c r="E310" s="448">
        <f>NETWORKDAYS(G310,H310,S.DDL_DEQClosed)</f>
        <v>1</v>
      </c>
      <c r="F310" s="492">
        <f t="shared" ca="1" si="931"/>
        <v>4</v>
      </c>
      <c r="G310" s="369">
        <f>AAG310</f>
        <v>41466</v>
      </c>
      <c r="H310" s="370">
        <f>AAH310</f>
        <v>41466</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6"/>
        <v>1</v>
      </c>
      <c r="AAF310" s="112"/>
      <c r="AAG310" s="78">
        <f>WORKDAY(S.SubmitNoticeToSOS,-2,S.DDL_DEQClosed)</f>
        <v>41466</v>
      </c>
      <c r="AAH310" s="78">
        <f t="shared" si="933"/>
        <v>41466</v>
      </c>
      <c r="AAI310" s="77"/>
      <c r="AAJ310" s="77"/>
      <c r="AAK310" s="77"/>
      <c r="AAL310" s="57"/>
      <c r="AAM310" s="112"/>
      <c r="AAN310"/>
      <c r="AAT310" s="23"/>
      <c r="AAU310" s="44"/>
    </row>
    <row r="311" spans="1:732" ht="15" outlineLevel="1">
      <c r="A311" s="558"/>
      <c r="B311" s="343" t="s">
        <v>50</v>
      </c>
      <c r="C311" s="168"/>
      <c r="D311" s="277" t="s">
        <v>49</v>
      </c>
      <c r="E311" s="448">
        <f t="shared" ref="E311" si="934">NETWORKDAYS(G311,H311,S.DDL_DEQClosed)</f>
        <v>1</v>
      </c>
      <c r="F311" s="492">
        <f t="shared" ca="1" si="931"/>
        <v>4</v>
      </c>
      <c r="G311" s="472">
        <f t="shared" ref="G311:H312" si="935">AAG311</f>
        <v>41466</v>
      </c>
      <c r="H311" s="369">
        <f t="shared" si="935"/>
        <v>41466</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41466</v>
      </c>
      <c r="AAH311" s="78">
        <f t="shared" ref="AAH311" si="936">G311</f>
        <v>41466</v>
      </c>
      <c r="AAI311" s="77"/>
      <c r="AAJ311" s="77"/>
      <c r="AAK311" s="77"/>
      <c r="AAL311" s="57" t="s">
        <v>0</v>
      </c>
      <c r="AAM311" s="112"/>
      <c r="AAN311"/>
      <c r="AAT311" s="23"/>
      <c r="AAU311" s="44"/>
    </row>
    <row r="312" spans="1:732" ht="15" outlineLevel="1">
      <c r="A312" s="558"/>
      <c r="B312" s="343" t="s">
        <v>229</v>
      </c>
      <c r="C312" s="168"/>
      <c r="D312" s="277" t="s">
        <v>383</v>
      </c>
      <c r="E312" s="448">
        <f>NETWORKDAYS(G312,H312,S.DDL_DEQClosed)</f>
        <v>3</v>
      </c>
      <c r="F312" s="492">
        <f t="shared" ca="1" si="931"/>
        <v>6</v>
      </c>
      <c r="G312" s="369">
        <f t="shared" si="935"/>
        <v>41466</v>
      </c>
      <c r="H312" s="656">
        <f t="shared" si="935"/>
        <v>41470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37">IF(S.InvolveNotice=TRUE,1,0)</f>
        <v>1</v>
      </c>
      <c r="AAF312" s="112"/>
      <c r="AAG312" s="78">
        <f>G310</f>
        <v>41466</v>
      </c>
      <c r="AAH312" s="78">
        <f>S.SubmitNoticeToSOS</f>
        <v>41470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37"/>
        <v>1</v>
      </c>
      <c r="AAF313" s="583" t="s">
        <v>185</v>
      </c>
      <c r="AAG313" s="63" t="s">
        <v>0</v>
      </c>
      <c r="AAH313" s="63" t="s">
        <v>0</v>
      </c>
      <c r="AAI313" s="63"/>
      <c r="AAJ313" s="57"/>
      <c r="AAK313" s="57"/>
      <c r="AAL313" s="97" t="s">
        <v>0</v>
      </c>
      <c r="AAM313" s="112"/>
      <c r="AAN313"/>
      <c r="AAT313" s="23"/>
      <c r="AAU313" s="44"/>
    </row>
    <row r="314" spans="1:732" s="23" customFormat="1" ht="15.75" customHeight="1" outlineLevel="1">
      <c r="A314" s="558"/>
      <c r="B314" s="132" t="s">
        <v>280</v>
      </c>
      <c r="C314" s="231" t="s">
        <v>72</v>
      </c>
      <c r="D314" s="229" t="s">
        <v>202</v>
      </c>
      <c r="E314" s="372">
        <f t="shared" ref="E314" si="938">NETWORKDAYS(G314,H314,S.DDL_DEQClosed)</f>
        <v>14</v>
      </c>
      <c r="F314" s="492">
        <f t="shared" ref="F314" ca="1" si="939">NETWORKDAYS(TODAY(),H314,S.DDL_DEQClosed)</f>
        <v>19</v>
      </c>
      <c r="G314" s="665">
        <f>AAG314</f>
        <v>41470</v>
      </c>
      <c r="H314" s="664">
        <f>AAH314</f>
        <v>41487</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37"/>
        <v>1</v>
      </c>
      <c r="AAF314" s="112" t="s">
        <v>0</v>
      </c>
      <c r="AAG314" s="78">
        <f>S.SubmitNoticeToSOS</f>
        <v>41470</v>
      </c>
      <c r="AAH314" s="78">
        <f>S.PublicNoticeInBulletin</f>
        <v>41487</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37"/>
        <v>1</v>
      </c>
      <c r="AAF315" s="583" t="s">
        <v>185</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37"/>
        <v>1</v>
      </c>
      <c r="AAF316" s="583" t="s">
        <v>185</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37"/>
        <v>1</v>
      </c>
      <c r="AAF317" s="583" t="s">
        <v>185</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3"/>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37"/>
        <v>1</v>
      </c>
      <c r="AAF318" s="583" t="s">
        <v>185</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3"/>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37"/>
        <v>1</v>
      </c>
      <c r="AAF319" s="583" t="s">
        <v>185</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hidden="1" customHeight="1" outlineLevel="1">
      <c r="A320" s="558"/>
      <c r="B320" s="533" t="str">
        <f>AAL323</f>
        <v>No DAS involvement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185</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hidden="1" outlineLevel="1">
      <c r="A321" s="558"/>
      <c r="B321" s="328" t="str">
        <f>AAL321</f>
        <v>DAS.EXEMPT.EMAIL</v>
      </c>
      <c r="C321" s="713"/>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185</v>
      </c>
      <c r="AAG321" s="76"/>
      <c r="AAH321" s="76"/>
      <c r="AAI321" s="77"/>
      <c r="AAJ321" s="77"/>
      <c r="AAK321" s="77"/>
      <c r="AAL321" s="89" t="str">
        <f>S.CodeName&amp;"DAS.EXEMPT.EMAIL"</f>
        <v>DAS.EXEMPT.EMAIL</v>
      </c>
      <c r="AAM321" s="112"/>
      <c r="AAN321"/>
      <c r="AAT321" s="23"/>
      <c r="AAU321" s="44"/>
    </row>
    <row r="322" spans="1:723" ht="15" hidden="1"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185</v>
      </c>
      <c r="AAG322" s="76"/>
      <c r="AAH322" s="76"/>
      <c r="AAI322" s="77"/>
      <c r="AAJ322" s="77"/>
      <c r="AAK322" s="77"/>
      <c r="AAL322" s="89" t="str">
        <f>S.CodeName&amp;"DAS.EXEMPT.EMAIL.PROOF"</f>
        <v>DAS.EXEMPT.EMAIL.PROOF</v>
      </c>
      <c r="AAM322" s="112"/>
      <c r="AAN322"/>
      <c r="AAT322" s="23"/>
      <c r="AAU322" s="44"/>
    </row>
    <row r="323" spans="1:723" ht="15" outlineLevel="1">
      <c r="A323" s="558"/>
      <c r="B323" s="407" t="s">
        <v>174</v>
      </c>
      <c r="C323" s="168"/>
      <c r="D323" s="277" t="s">
        <v>394</v>
      </c>
      <c r="E323" s="448">
        <f t="shared" ref="E323" si="940">NETWORKDAYS(G323,H323,S.DDL_DEQClosed)</f>
        <v>1</v>
      </c>
      <c r="F323" s="492">
        <f t="shared" ref="F323" ca="1" si="941">NETWORKDAYS(TODAY(),H323)</f>
        <v>6</v>
      </c>
      <c r="G323" s="472">
        <f t="shared" ref="G323:H323" si="942">AAG323</f>
        <v>41470</v>
      </c>
      <c r="H323" s="369">
        <f t="shared" si="942"/>
        <v>41470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3">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2"/>
      <c r="AAN323"/>
      <c r="AAT323" s="23"/>
      <c r="AAU323" s="44"/>
    </row>
    <row r="324" spans="1:723" ht="15" outlineLevel="1">
      <c r="A324" s="558"/>
      <c r="B324" s="362" t="s">
        <v>279</v>
      </c>
      <c r="C324" s="287" t="s">
        <v>93</v>
      </c>
      <c r="D324" s="277"/>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185</v>
      </c>
      <c r="AAG324" s="76"/>
      <c r="AAH324" s="76"/>
      <c r="AAI324" s="77"/>
      <c r="AAJ324" s="77"/>
      <c r="AAK324" s="77"/>
      <c r="AAL324" s="57"/>
      <c r="AAM324" s="112"/>
      <c r="AAN324"/>
      <c r="AAT324" s="23"/>
      <c r="AAU324" s="44"/>
    </row>
    <row r="325" spans="1:723" ht="15" outlineLevel="1">
      <c r="A325" s="558"/>
      <c r="B325" s="408" t="s">
        <v>110</v>
      </c>
      <c r="C325" s="168"/>
      <c r="D325" s="277"/>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185</v>
      </c>
      <c r="AAG325" s="76"/>
      <c r="AAH325" s="76"/>
      <c r="AAI325" s="77"/>
      <c r="AAJ325" s="77"/>
      <c r="AAK325" s="77"/>
      <c r="AAL325" s="57"/>
      <c r="AAM325" s="112"/>
      <c r="AAN325"/>
      <c r="AAT325" s="23"/>
      <c r="AAU325" s="44"/>
    </row>
    <row r="326" spans="1:723" ht="15" outlineLevel="1">
      <c r="A326" s="558"/>
      <c r="B326" s="408" t="s">
        <v>125</v>
      </c>
      <c r="C326" s="228" t="s">
        <v>93</v>
      </c>
      <c r="D326" s="277"/>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185</v>
      </c>
      <c r="AAG326" s="76"/>
      <c r="AAH326" s="76"/>
      <c r="AAI326" s="77"/>
      <c r="AAJ326" s="77"/>
      <c r="AAK326" s="77"/>
      <c r="AAL326" s="57"/>
      <c r="AAM326" s="112"/>
      <c r="AAN326"/>
      <c r="AAT326" s="23"/>
      <c r="AAU326" s="44"/>
    </row>
    <row r="327" spans="1:723" ht="15" outlineLevel="1">
      <c r="A327" s="558"/>
      <c r="B327" s="408" t="s">
        <v>112</v>
      </c>
      <c r="C327" s="168"/>
      <c r="D327" s="277"/>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4">IF(S.InvolveNotice=TRUE,1,0)</f>
        <v>1</v>
      </c>
      <c r="AAF327" s="583" t="s">
        <v>185</v>
      </c>
      <c r="AAG327" s="76"/>
      <c r="AAH327" s="76"/>
      <c r="AAI327" s="77"/>
      <c r="AAJ327" s="77"/>
      <c r="AAK327" s="77"/>
      <c r="AAL327" s="57"/>
      <c r="AAM327" s="112"/>
      <c r="AAN327"/>
      <c r="AAT327" s="23"/>
      <c r="AAU327" s="44"/>
    </row>
    <row r="328" spans="1:723" ht="15" outlineLevel="1">
      <c r="A328" s="558"/>
      <c r="B328" s="408" t="s">
        <v>111</v>
      </c>
      <c r="C328" s="168"/>
      <c r="D328" s="277"/>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4"/>
        <v>1</v>
      </c>
      <c r="AAF328" s="583" t="s">
        <v>185</v>
      </c>
      <c r="AAG328" s="76"/>
      <c r="AAH328" s="76"/>
      <c r="AAI328" s="77"/>
      <c r="AAJ328" s="77"/>
      <c r="AAK328" s="77"/>
      <c r="AAL328" s="57"/>
      <c r="AAM328" s="112"/>
      <c r="AAN328"/>
      <c r="AAT328" s="23"/>
      <c r="AAU328" s="44"/>
    </row>
    <row r="329" spans="1:723" ht="15" outlineLevel="1">
      <c r="A329" s="558"/>
      <c r="B329" s="409" t="str">
        <f>AAL329</f>
        <v>GOV.DELIVERY.CONTENT"</v>
      </c>
      <c r="C329" s="168"/>
      <c r="D329" s="277"/>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4"/>
        <v>1</v>
      </c>
      <c r="AAF329" s="583" t="s">
        <v>185</v>
      </c>
      <c r="AAG329" s="76"/>
      <c r="AAH329" s="76"/>
      <c r="AAI329" s="77"/>
      <c r="AAJ329" s="77"/>
      <c r="AAK329" s="77"/>
      <c r="AAL329" s="89" t="s">
        <v>324</v>
      </c>
      <c r="AAM329" s="112"/>
      <c r="AAN329"/>
      <c r="AAT329" s="23"/>
      <c r="AAU329" s="44"/>
    </row>
    <row r="330" spans="1:723" ht="15" outlineLevel="1">
      <c r="A330" s="558"/>
      <c r="B330" s="409" t="str">
        <f>AAL330</f>
        <v>Save AGENCY.MAILING.LIST</v>
      </c>
      <c r="C330" s="168"/>
      <c r="D330" s="277"/>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4"/>
        <v>1</v>
      </c>
      <c r="AAF330" s="583" t="s">
        <v>185</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4"/>
        <v>1</v>
      </c>
      <c r="AAF331" s="583" t="s">
        <v>185</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173</v>
      </c>
      <c r="C332" s="168"/>
      <c r="D332" s="277" t="s">
        <v>171</v>
      </c>
      <c r="E332" s="448">
        <f t="shared" ref="E332" si="945">NETWORKDAYS(G332,H332,S.DDL_DEQClosed)</f>
        <v>1</v>
      </c>
      <c r="F332" s="492">
        <f t="shared" ref="F332" ca="1" si="946">NETWORKDAYS(TODAY(),H332)</f>
        <v>6</v>
      </c>
      <c r="G332" s="472">
        <f t="shared" ref="G332:H332" si="947">AAG332</f>
        <v>41470</v>
      </c>
      <c r="H332" s="369">
        <f t="shared" si="947"/>
        <v>41470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4"/>
        <v>1</v>
      </c>
      <c r="AAF332" s="112"/>
      <c r="AAG332" s="78">
        <f t="shared" si="943"/>
        <v>41470</v>
      </c>
      <c r="AAH332" s="78">
        <f>G332</f>
        <v>41470</v>
      </c>
      <c r="AAI332" s="77"/>
      <c r="AAJ332" s="77"/>
      <c r="AAK332" s="77"/>
      <c r="AAL332" s="57"/>
      <c r="AAM332" s="112"/>
      <c r="AAN332"/>
      <c r="AAT332" s="23"/>
      <c r="AAU332" s="44"/>
    </row>
    <row r="333" spans="1:723" ht="15" outlineLevel="1">
      <c r="A333" s="558"/>
      <c r="B333" s="410" t="str">
        <f>AAL333</f>
        <v>Send KEY.LEG.NOTICE</v>
      </c>
      <c r="C333" s="715"/>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4"/>
        <v>1</v>
      </c>
      <c r="AAF333" s="583" t="s">
        <v>185</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4"/>
        <v>1</v>
      </c>
      <c r="AAF334" s="583" t="s">
        <v>185</v>
      </c>
      <c r="AAG334" s="76"/>
      <c r="AAH334" s="76"/>
      <c r="AAI334" s="77"/>
      <c r="AAJ334" s="77"/>
      <c r="AAK334" s="77"/>
      <c r="AAL334" s="89" t="str">
        <f>"Save "&amp;S.CodeName&amp;"KEY.LEG.PROOF"</f>
        <v>Save KEY.LEG.PROOF</v>
      </c>
      <c r="AAM334" s="112"/>
      <c r="AAN334"/>
      <c r="AAT334" s="23"/>
      <c r="AAU334" s="44"/>
    </row>
    <row r="335" spans="1:723" ht="15" outlineLevel="1">
      <c r="A335" s="558"/>
      <c r="B335" s="362" t="s">
        <v>188</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4"/>
        <v>1</v>
      </c>
      <c r="AAF335" s="583" t="s">
        <v>185</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4"/>
        <v>1</v>
      </c>
      <c r="AAF336" s="583" t="s">
        <v>185</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4"/>
        <v>1</v>
      </c>
      <c r="AAF337" s="583" t="s">
        <v>185</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4"/>
        <v>1</v>
      </c>
      <c r="AAF338" s="583" t="s">
        <v>185</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185</v>
      </c>
      <c r="AAG339" s="63"/>
      <c r="AAH339" s="63"/>
      <c r="AAI339" s="77"/>
      <c r="AAJ339" s="77"/>
      <c r="AAK339" s="77"/>
      <c r="AAL339" s="57"/>
      <c r="AAM339" s="112"/>
      <c r="AAN339"/>
      <c r="AAT339" s="23"/>
      <c r="AAU339" s="44"/>
    </row>
    <row r="340" spans="1:732" s="23" customFormat="1" ht="18" customHeight="1">
      <c r="A340" s="558"/>
      <c r="B340" s="781" t="str">
        <f>AAL340</f>
        <v>5-Public Comment and Testimony</v>
      </c>
      <c r="C340" s="781"/>
      <c r="D340" s="781"/>
      <c r="E340" s="781"/>
      <c r="F340" s="781"/>
      <c r="G340" s="781"/>
      <c r="H340" s="781"/>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185</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3"/>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258</v>
      </c>
      <c r="AAF341" s="583" t="s">
        <v>185</v>
      </c>
      <c r="AAG341" s="112"/>
      <c r="AAH341" s="112"/>
      <c r="AAI341" s="77"/>
      <c r="AAJ341" s="90"/>
      <c r="AAK341" s="90"/>
      <c r="AAL341" s="76"/>
      <c r="AAM341" s="112"/>
      <c r="AAU341" s="44"/>
    </row>
    <row r="342" spans="1:732" ht="18" customHeight="1">
      <c r="A342" s="558"/>
      <c r="B342" s="202"/>
      <c r="C342" s="716"/>
      <c r="D342" s="202"/>
      <c r="E342" s="293" t="s">
        <v>0</v>
      </c>
      <c r="F342" s="466">
        <f>NETWORKDAYS(S.BANNER.HearingStart,S.BANNER.HearingEnd,S.DDL_DEQClosed)</f>
        <v>54</v>
      </c>
      <c r="G342" s="253">
        <f>AAG342</f>
        <v>41450</v>
      </c>
      <c r="H342" s="274">
        <f>AAH342</f>
        <v>41527</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258</v>
      </c>
      <c r="AAF342" s="583" t="s">
        <v>185</v>
      </c>
      <c r="AAG342" s="78">
        <f>WORKDAY(S.SubmitNoticeToSOS-19,-1,S.DDL_DEQClosed)</f>
        <v>41450</v>
      </c>
      <c r="AAH342" s="78">
        <f>S.SubmitStaffRpt</f>
        <v>41527</v>
      </c>
      <c r="AAI342" s="77"/>
      <c r="AAJ342" s="77"/>
      <c r="AAK342" s="77"/>
      <c r="AAL342" s="65"/>
      <c r="AAM342" s="112"/>
      <c r="AAN342"/>
      <c r="AAT342" s="23"/>
      <c r="AAU342" s="44"/>
    </row>
    <row r="343" spans="1:732" ht="6" customHeight="1">
      <c r="A343" s="558"/>
      <c r="B343" s="206"/>
      <c r="C343" s="688"/>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185</v>
      </c>
      <c r="AAG343" s="63"/>
      <c r="AAH343" s="63"/>
      <c r="AAI343" s="77"/>
      <c r="AAJ343" s="77"/>
      <c r="AAK343" s="77"/>
      <c r="AAL343" s="57"/>
      <c r="AAM343" s="112"/>
      <c r="AAN343"/>
      <c r="AAT343" s="23"/>
      <c r="AAU343" s="44"/>
    </row>
    <row r="344" spans="1:732" ht="15" customHeight="1" outlineLevel="1">
      <c r="A344" s="558"/>
      <c r="B344" s="438" t="s">
        <v>223</v>
      </c>
      <c r="C344" s="168"/>
      <c r="D344" s="277" t="s">
        <v>166</v>
      </c>
      <c r="E344" s="448">
        <f>NETWORKDAYS(G344,H344,S.DDL_DEQClosed)</f>
        <v>11</v>
      </c>
      <c r="F344" s="491">
        <f ca="1">NETWORKDAYS(TODAY(),H344)</f>
        <v>3</v>
      </c>
      <c r="G344" s="449">
        <f>AAG344</f>
        <v>41450</v>
      </c>
      <c r="H344" s="449">
        <v>41465</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48">IF(AND(S.InvolveNotice=TRUE,S.InvolveHearing=TRUE),1,0)</f>
        <v>1</v>
      </c>
      <c r="AAF344" s="584"/>
      <c r="AAG344" s="78">
        <f>S.BANNER.HearingStart</f>
        <v>41450</v>
      </c>
      <c r="AAH344" s="78">
        <f>S.FirstHearingDate</f>
        <v>41501</v>
      </c>
      <c r="AAI344" s="77"/>
      <c r="AAJ344" s="77"/>
      <c r="AAK344" s="77"/>
      <c r="AAL344" s="57"/>
      <c r="AAM344" s="112"/>
      <c r="AAN344"/>
      <c r="AAT344" s="23"/>
      <c r="AAU344" s="44"/>
    </row>
    <row r="345" spans="1:732" ht="15"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48"/>
        <v>1</v>
      </c>
      <c r="AAF345" s="583" t="s">
        <v>185</v>
      </c>
      <c r="AAG345" s="76"/>
      <c r="AAH345" s="76"/>
      <c r="AAI345" s="77"/>
      <c r="AAJ345" s="77"/>
      <c r="AAK345" s="77"/>
      <c r="AAL345" s="57"/>
      <c r="AAM345" s="112"/>
      <c r="AAN345"/>
      <c r="AAT345" s="23"/>
      <c r="AAU345" s="44"/>
    </row>
    <row r="346" spans="1:732" ht="15"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48"/>
        <v>1</v>
      </c>
      <c r="AAF346" s="583" t="s">
        <v>185</v>
      </c>
      <c r="AAG346" s="76"/>
      <c r="AAH346" s="76"/>
      <c r="AAI346" s="77"/>
      <c r="AAJ346" s="77"/>
      <c r="AAK346" s="77"/>
      <c r="AAL346" s="57"/>
      <c r="AAM346" s="112"/>
      <c r="AAN346"/>
      <c r="AAT346" s="23"/>
      <c r="AAU346" s="44"/>
    </row>
    <row r="347" spans="1:732" ht="15" customHeight="1" outlineLevel="1">
      <c r="A347" s="558"/>
      <c r="B347" s="438" t="s">
        <v>162</v>
      </c>
      <c r="C347" s="296"/>
      <c r="D347" s="277" t="s">
        <v>374</v>
      </c>
      <c r="E347" s="448">
        <f>NETWORKDAYS(G347,H347,S.DDL_DEQClosed)</f>
        <v>27</v>
      </c>
      <c r="F347" s="491">
        <f ca="1">NETWORKDAYS(TODAY(),H347)</f>
        <v>19</v>
      </c>
      <c r="G347" s="449">
        <f>AAG347</f>
        <v>41450</v>
      </c>
      <c r="H347" s="449">
        <v>41487</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48"/>
        <v>1</v>
      </c>
      <c r="AAF347" s="112"/>
      <c r="AAG347" s="78">
        <f>S.BANNER.HearingStart</f>
        <v>41450</v>
      </c>
      <c r="AAH347" s="78">
        <f>S.FirstHearingDate</f>
        <v>41501</v>
      </c>
      <c r="AAI347" s="77"/>
      <c r="AAJ347" s="77"/>
      <c r="AAK347" s="77"/>
      <c r="AAL347" s="57"/>
      <c r="AAM347" s="112"/>
      <c r="AAN347"/>
      <c r="AAT347" s="23"/>
      <c r="AAU347" s="44"/>
    </row>
    <row r="348" spans="1:732" ht="15" customHeight="1" outlineLevel="1">
      <c r="A348" s="558"/>
      <c r="B348" s="439" t="s">
        <v>129</v>
      </c>
      <c r="C348" s="717"/>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48"/>
        <v>1</v>
      </c>
      <c r="AAF348" s="583" t="s">
        <v>185</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48"/>
        <v>1</v>
      </c>
      <c r="AAF349" s="583" t="s">
        <v>185</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48"/>
        <v>1</v>
      </c>
      <c r="AAF350" s="583" t="s">
        <v>185</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48"/>
        <v>1</v>
      </c>
      <c r="AAF351" s="583" t="s">
        <v>185</v>
      </c>
      <c r="AAG351" s="76"/>
      <c r="AAH351" s="76"/>
      <c r="AAI351" s="77"/>
      <c r="AAJ351" s="77"/>
      <c r="AAK351" s="77"/>
      <c r="AAL351" s="57"/>
      <c r="AAM351" s="112"/>
      <c r="AAN351"/>
      <c r="AAT351" s="23"/>
      <c r="AAU351" s="44"/>
    </row>
    <row r="352" spans="1:732" ht="15"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48"/>
        <v>1</v>
      </c>
      <c r="AAF352" s="583" t="s">
        <v>185</v>
      </c>
      <c r="AAG352" s="76"/>
      <c r="AAH352" s="76"/>
      <c r="AAI352" s="77"/>
      <c r="AAJ352" s="77"/>
      <c r="AAK352" s="77"/>
      <c r="AAL352" s="57"/>
      <c r="AAM352" s="112"/>
      <c r="AAN352"/>
      <c r="AAT352" s="23"/>
      <c r="AAU352" s="44"/>
    </row>
    <row r="353" spans="1:723" ht="15" customHeight="1" outlineLevel="1">
      <c r="A353" s="558"/>
      <c r="B353" s="443" t="s">
        <v>31</v>
      </c>
      <c r="C353" s="297"/>
      <c r="D353" s="279" t="s">
        <v>374</v>
      </c>
      <c r="E353" s="368">
        <f t="shared" ref="E353:E357" si="949">NETWORKDAYS(G353,H353,S.DDL_DEQClosed)</f>
        <v>7</v>
      </c>
      <c r="F353" s="491">
        <f t="shared" ref="F353:F357" ca="1" si="950">NETWORKDAYS(TODAY(),H353)</f>
        <v>-4</v>
      </c>
      <c r="G353" s="449">
        <v>41450</v>
      </c>
      <c r="H353" s="449">
        <v>41458</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48"/>
        <v>1</v>
      </c>
      <c r="AAF353" s="112"/>
      <c r="AAG353" s="78">
        <f>G347</f>
        <v>41450</v>
      </c>
      <c r="AAH353" s="78">
        <f>G353</f>
        <v>41450</v>
      </c>
      <c r="AAI353" s="77"/>
      <c r="AAJ353" s="77"/>
      <c r="AAK353" s="77"/>
      <c r="AAL353" s="56"/>
      <c r="AAM353" s="112"/>
      <c r="AAN353"/>
      <c r="AAT353" s="23"/>
      <c r="AAU353" s="44"/>
    </row>
    <row r="354" spans="1:723" ht="15" customHeight="1" outlineLevel="1">
      <c r="A354" s="558"/>
      <c r="B354" s="444" t="s">
        <v>85</v>
      </c>
      <c r="C354" s="297"/>
      <c r="D354" s="279" t="s">
        <v>374</v>
      </c>
      <c r="E354" s="368">
        <f t="shared" si="949"/>
        <v>5</v>
      </c>
      <c r="F354" s="491">
        <f t="shared" ca="1" si="950"/>
        <v>3</v>
      </c>
      <c r="G354" s="449">
        <f t="shared" ref="G354:H357" si="951">AAG354</f>
        <v>41458</v>
      </c>
      <c r="H354" s="449">
        <v>41465</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48"/>
        <v>1</v>
      </c>
      <c r="AAF354" s="112"/>
      <c r="AAG354" s="78">
        <f t="shared" ref="AAG354:AAG357" si="952">H353</f>
        <v>41458</v>
      </c>
      <c r="AAH354" s="78">
        <f t="shared" ref="AAH354:AAH357" si="953">G354</f>
        <v>41458</v>
      </c>
      <c r="AAI354" s="77"/>
      <c r="AAJ354" s="77"/>
      <c r="AAK354" s="77"/>
      <c r="AAL354" s="57"/>
      <c r="AAM354" s="112"/>
      <c r="AAN354"/>
      <c r="AAT354" s="23"/>
      <c r="AAU354" s="44"/>
    </row>
    <row r="355" spans="1:723" ht="15" customHeight="1" outlineLevel="1">
      <c r="A355" s="558"/>
      <c r="B355" s="445" t="s">
        <v>86</v>
      </c>
      <c r="C355" s="297"/>
      <c r="D355" s="279" t="s">
        <v>374</v>
      </c>
      <c r="E355" s="368">
        <f t="shared" si="949"/>
        <v>1</v>
      </c>
      <c r="F355" s="491">
        <f t="shared" ca="1" si="950"/>
        <v>3</v>
      </c>
      <c r="G355" s="449">
        <f t="shared" si="951"/>
        <v>41465</v>
      </c>
      <c r="H355" s="449">
        <f t="shared" si="951"/>
        <v>41465</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48"/>
        <v>1</v>
      </c>
      <c r="AAF355" s="112"/>
      <c r="AAG355" s="78">
        <f t="shared" si="952"/>
        <v>41465</v>
      </c>
      <c r="AAH355" s="78">
        <f t="shared" si="953"/>
        <v>41465</v>
      </c>
      <c r="AAI355" s="77"/>
      <c r="AAJ355" s="77"/>
      <c r="AAK355" s="77"/>
      <c r="AAL355" s="57"/>
      <c r="AAM355" s="112"/>
      <c r="AAN355"/>
      <c r="AAT355" s="23"/>
      <c r="AAU355" s="44"/>
    </row>
    <row r="356" spans="1:723" ht="15" customHeight="1" outlineLevel="1">
      <c r="A356" s="558"/>
      <c r="B356" s="446" t="s">
        <v>87</v>
      </c>
      <c r="C356" s="297"/>
      <c r="D356" s="279" t="s">
        <v>374</v>
      </c>
      <c r="E356" s="368">
        <f t="shared" si="949"/>
        <v>1</v>
      </c>
      <c r="F356" s="491">
        <f t="shared" ca="1" si="950"/>
        <v>3</v>
      </c>
      <c r="G356" s="449">
        <f t="shared" si="951"/>
        <v>41465</v>
      </c>
      <c r="H356" s="449">
        <f t="shared" si="951"/>
        <v>41465</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48"/>
        <v>1</v>
      </c>
      <c r="AAF356" s="112"/>
      <c r="AAG356" s="78">
        <f t="shared" si="952"/>
        <v>41465</v>
      </c>
      <c r="AAH356" s="78">
        <f t="shared" si="953"/>
        <v>41465</v>
      </c>
      <c r="AAI356" s="77"/>
      <c r="AAJ356" s="77"/>
      <c r="AAK356" s="77"/>
      <c r="AAL356" s="57"/>
      <c r="AAM356" s="112"/>
      <c r="AAN356"/>
      <c r="AAT356" s="23"/>
      <c r="AAU356" s="44"/>
    </row>
    <row r="357" spans="1:723" ht="15" customHeight="1" outlineLevel="1">
      <c r="A357" s="558"/>
      <c r="B357" s="447" t="s">
        <v>88</v>
      </c>
      <c r="C357" s="297"/>
      <c r="D357" s="279" t="s">
        <v>374</v>
      </c>
      <c r="E357" s="368">
        <f t="shared" si="949"/>
        <v>6</v>
      </c>
      <c r="F357" s="491">
        <f t="shared" ca="1" si="950"/>
        <v>8</v>
      </c>
      <c r="G357" s="449">
        <f t="shared" si="951"/>
        <v>41465</v>
      </c>
      <c r="H357" s="449">
        <v>41472</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48"/>
        <v>1</v>
      </c>
      <c r="AAF357" s="112"/>
      <c r="AAG357" s="78">
        <f t="shared" si="952"/>
        <v>41465</v>
      </c>
      <c r="AAH357" s="78">
        <f t="shared" si="953"/>
        <v>41465</v>
      </c>
      <c r="AAI357" s="77"/>
      <c r="AAJ357" s="77"/>
      <c r="AAK357" s="77"/>
      <c r="AAL357" s="57"/>
      <c r="AAM357" s="112"/>
      <c r="AAN357"/>
      <c r="AAT357" s="23"/>
      <c r="AAU357" s="44"/>
    </row>
    <row r="358" spans="1:723" ht="87.75" customHeight="1" outlineLevel="1">
      <c r="A358" s="558"/>
      <c r="B358" s="757" t="s">
        <v>354</v>
      </c>
      <c r="C358" s="757"/>
      <c r="D358" s="757"/>
      <c r="E358" s="757"/>
      <c r="F358" s="757"/>
      <c r="G358" s="757"/>
      <c r="H358" s="757"/>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48"/>
        <v>1</v>
      </c>
      <c r="AAF358" s="583" t="s">
        <v>185</v>
      </c>
      <c r="AAG358" s="63"/>
      <c r="AAH358" s="63"/>
      <c r="AAI358" s="77"/>
      <c r="AAJ358" s="77"/>
      <c r="AAK358" s="77"/>
      <c r="AAL358" s="57"/>
      <c r="AAM358" s="112"/>
      <c r="AAN358"/>
      <c r="AAT358" s="23"/>
      <c r="AAU358" s="44"/>
    </row>
    <row r="359" spans="1:723" ht="15" customHeight="1" outlineLevel="1">
      <c r="A359" s="558"/>
      <c r="B359" s="457" t="s">
        <v>23</v>
      </c>
      <c r="C359" s="718"/>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48"/>
        <v>1</v>
      </c>
      <c r="AAF359" s="583" t="s">
        <v>185</v>
      </c>
      <c r="AAG359" s="63"/>
      <c r="AAH359" s="63"/>
      <c r="AAI359" s="77"/>
      <c r="AAJ359" s="77"/>
      <c r="AAK359" s="77"/>
      <c r="AAL359" s="56"/>
      <c r="AAM359" s="112"/>
      <c r="AAN359"/>
      <c r="AAT359" s="23"/>
      <c r="AAU359" s="44"/>
    </row>
    <row r="360" spans="1:723" ht="15" customHeight="1" outlineLevel="1">
      <c r="A360" s="558"/>
      <c r="B360" s="458" t="s">
        <v>102</v>
      </c>
      <c r="C360" s="459"/>
      <c r="D360" s="277" t="s">
        <v>16</v>
      </c>
      <c r="E360" s="368">
        <f>NETWORKDAYS(G360,H360,S.DDL_DEQClosed)</f>
        <v>1</v>
      </c>
      <c r="F360" s="491">
        <f ca="1">NETWORKDAYS(TODAY(),H360)</f>
        <v>8</v>
      </c>
      <c r="G360" s="449">
        <f t="shared" ref="G360:H360" si="954">AAG360</f>
        <v>41472</v>
      </c>
      <c r="H360" s="449">
        <f t="shared" si="954"/>
        <v>41472</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48"/>
        <v>1</v>
      </c>
      <c r="AAF360" s="112"/>
      <c r="AAG360" s="78">
        <f>H357</f>
        <v>41472</v>
      </c>
      <c r="AAH360" s="78">
        <f>G360</f>
        <v>41472</v>
      </c>
      <c r="AAI360" s="77"/>
      <c r="AAJ360" s="77"/>
      <c r="AAK360" s="77"/>
      <c r="AAL360" s="57"/>
      <c r="AAM360" s="112"/>
      <c r="AAN360"/>
      <c r="AAT360" s="23"/>
      <c r="AAU360" s="44"/>
    </row>
    <row r="361" spans="1:723" ht="15" customHeight="1" outlineLevel="1">
      <c r="A361" s="558"/>
      <c r="B361" s="460" t="s">
        <v>176</v>
      </c>
      <c r="C361" s="719"/>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48"/>
        <v>1</v>
      </c>
      <c r="AAF361" s="583" t="s">
        <v>185</v>
      </c>
      <c r="AAG361" s="63"/>
      <c r="AAH361" s="63"/>
      <c r="AAI361" s="77"/>
      <c r="AAJ361" s="77"/>
      <c r="AAK361" s="77"/>
      <c r="AAL361" s="57"/>
      <c r="AAM361" s="112"/>
      <c r="AAN361"/>
      <c r="AAT361" s="23"/>
      <c r="AAU361" s="44"/>
    </row>
    <row r="362" spans="1:723" ht="15" customHeight="1" outlineLevel="1">
      <c r="A362" s="558"/>
      <c r="B362" s="779" t="str">
        <f t="shared" ref="B362" si="955">AAL362</f>
        <v>Hold hearings (change dates under Overview of Key Dates)</v>
      </c>
      <c r="C362" s="780"/>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48"/>
        <v>1</v>
      </c>
      <c r="AAF362" s="583" t="s">
        <v>185</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
        <v>391</v>
      </c>
      <c r="C363" s="347"/>
      <c r="D363" s="277" t="s">
        <v>379</v>
      </c>
      <c r="E363" s="368">
        <f t="shared" ref="E363:E371" si="956">NETWORKDAYS(G363,H363,S.DDL_DEQClosed)</f>
        <v>1</v>
      </c>
      <c r="F363" s="491">
        <f t="shared" ref="F363:F371" ca="1" si="957">NETWORKDAYS(TODAY(),H363)</f>
        <v>29</v>
      </c>
      <c r="G363" s="455">
        <f>S.FirstHearingDate</f>
        <v>41501</v>
      </c>
      <c r="H363" s="456">
        <f>S.FirstHearingDate</f>
        <v>41501</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48"/>
        <v>1</v>
      </c>
      <c r="AAF363" s="112"/>
      <c r="AAG363" s="93"/>
      <c r="AAH363" s="93"/>
      <c r="AAI363" s="77"/>
      <c r="AAJ363" s="77"/>
      <c r="AAK363" s="77"/>
      <c r="AAL363" s="80"/>
      <c r="AAM363" s="112"/>
      <c r="AAN363"/>
      <c r="AAT363" s="23"/>
      <c r="AAU363" s="44"/>
    </row>
    <row r="364" spans="1:723" ht="15" hidden="1" customHeight="1" outlineLevel="2">
      <c r="A364" s="558"/>
      <c r="B364" s="409" t="str">
        <f>S.2ndHearingCity&amp;" hearing"</f>
        <v>Enter city name hearing</v>
      </c>
      <c r="C364" s="347"/>
      <c r="D364" s="277" t="s">
        <v>379</v>
      </c>
      <c r="E364" s="368">
        <f t="shared" si="956"/>
        <v>1</v>
      </c>
      <c r="F364" s="491">
        <f t="shared" ca="1" si="957"/>
        <v>29</v>
      </c>
      <c r="G364" s="455">
        <f>S.2ndHearingDate</f>
        <v>41501</v>
      </c>
      <c r="H364" s="456">
        <f>S.2ndHearingDate</f>
        <v>41501</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48"/>
        <v>1</v>
      </c>
      <c r="AAF364" s="112"/>
      <c r="AAG364" s="93"/>
      <c r="AAH364" s="93"/>
      <c r="AAI364" s="77"/>
      <c r="AAJ364" s="77"/>
      <c r="AAK364" s="77"/>
      <c r="AAL364" s="80"/>
      <c r="AAM364" s="112"/>
      <c r="AAN364"/>
      <c r="AAT364" s="23"/>
      <c r="AAU364" s="44"/>
    </row>
    <row r="365" spans="1:723" ht="15" hidden="1" customHeight="1" outlineLevel="2">
      <c r="A365" s="558"/>
      <c r="B365" s="409" t="str">
        <f>S.3rdHearingCity&amp;" hearing"</f>
        <v>Enter city name hearing</v>
      </c>
      <c r="C365" s="347"/>
      <c r="D365" s="277" t="s">
        <v>379</v>
      </c>
      <c r="E365" s="368">
        <f t="shared" si="956"/>
        <v>1</v>
      </c>
      <c r="F365" s="491">
        <f t="shared" ca="1" si="957"/>
        <v>29</v>
      </c>
      <c r="G365" s="455">
        <f>S.3rdHearingDate</f>
        <v>41501</v>
      </c>
      <c r="H365" s="456">
        <f>S.3rdHearingDate</f>
        <v>41501</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48"/>
        <v>1</v>
      </c>
      <c r="AAF365" s="112"/>
      <c r="AAG365" s="93"/>
      <c r="AAH365" s="93"/>
      <c r="AAI365" s="77"/>
      <c r="AAJ365" s="77"/>
      <c r="AAK365" s="77"/>
      <c r="AAL365" s="80"/>
      <c r="AAM365" s="112"/>
      <c r="AAN365"/>
      <c r="AAT365" s="23"/>
      <c r="AAU365" s="44"/>
    </row>
    <row r="366" spans="1:723" ht="15" hidden="1" customHeight="1" outlineLevel="2">
      <c r="A366" s="558"/>
      <c r="B366" s="409" t="str">
        <f>S.4thHearingCity&amp;" hearing"</f>
        <v>Enter city name hearing</v>
      </c>
      <c r="C366" s="347"/>
      <c r="D366" s="277" t="s">
        <v>379</v>
      </c>
      <c r="E366" s="368">
        <f t="shared" si="956"/>
        <v>1</v>
      </c>
      <c r="F366" s="491">
        <f t="shared" ca="1" si="957"/>
        <v>29</v>
      </c>
      <c r="G366" s="455">
        <f>S.4thHearingDate</f>
        <v>41501</v>
      </c>
      <c r="H366" s="456">
        <f>S.4thHearingDate</f>
        <v>41501</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48"/>
        <v>1</v>
      </c>
      <c r="AAF366" s="112"/>
      <c r="AAG366" s="93"/>
      <c r="AAH366" s="93"/>
      <c r="AAI366" s="77"/>
      <c r="AAJ366" s="77"/>
      <c r="AAK366" s="77"/>
      <c r="AAL366" s="80"/>
      <c r="AAM366" s="112"/>
      <c r="AAN366"/>
      <c r="AAT366" s="23"/>
      <c r="AAU366" s="44"/>
    </row>
    <row r="367" spans="1:723" ht="15" hidden="1" customHeight="1" outlineLevel="2">
      <c r="A367" s="558"/>
      <c r="B367" s="409" t="str">
        <f>S.5thHearingCity&amp;" hearing"</f>
        <v>Enter city name hearing</v>
      </c>
      <c r="C367" s="347"/>
      <c r="D367" s="277" t="s">
        <v>379</v>
      </c>
      <c r="E367" s="368">
        <f t="shared" si="956"/>
        <v>1</v>
      </c>
      <c r="F367" s="491">
        <f t="shared" ca="1" si="957"/>
        <v>29</v>
      </c>
      <c r="G367" s="455">
        <f>S.5thHearingDate</f>
        <v>41501</v>
      </c>
      <c r="H367" s="456">
        <f>S.5thHearingDate</f>
        <v>41501</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48"/>
        <v>1</v>
      </c>
      <c r="AAF367" s="112"/>
      <c r="AAG367" s="93"/>
      <c r="AAH367" s="93"/>
      <c r="AAI367" s="77"/>
      <c r="AAJ367" s="77"/>
      <c r="AAK367" s="77"/>
      <c r="AAL367" s="80"/>
      <c r="AAM367" s="112"/>
      <c r="AAN367"/>
      <c r="AAT367" s="23"/>
      <c r="AAU367" s="44"/>
    </row>
    <row r="368" spans="1:723" ht="15" hidden="1" customHeight="1" outlineLevel="2">
      <c r="A368" s="558"/>
      <c r="B368" s="409" t="str">
        <f>S.6thHearingCity&amp;" hearing"</f>
        <v>Enter city name hearing</v>
      </c>
      <c r="C368" s="347"/>
      <c r="D368" s="277" t="s">
        <v>379</v>
      </c>
      <c r="E368" s="368">
        <f t="shared" si="956"/>
        <v>1</v>
      </c>
      <c r="F368" s="491">
        <f t="shared" ca="1" si="957"/>
        <v>29</v>
      </c>
      <c r="G368" s="455">
        <f>S.6thHearingDate</f>
        <v>41501</v>
      </c>
      <c r="H368" s="456">
        <f>S.6thHearingDate</f>
        <v>41501</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48"/>
        <v>1</v>
      </c>
      <c r="AAF368" s="112"/>
      <c r="AAG368" s="93"/>
      <c r="AAH368" s="93"/>
      <c r="AAI368" s="77"/>
      <c r="AAJ368" s="77"/>
      <c r="AAK368" s="77"/>
      <c r="AAL368" s="80"/>
      <c r="AAM368" s="112"/>
      <c r="AAN368"/>
      <c r="AAT368" s="23"/>
      <c r="AAU368" s="44"/>
    </row>
    <row r="369" spans="1:732" ht="15" hidden="1" customHeight="1" outlineLevel="2">
      <c r="A369" s="558"/>
      <c r="B369" s="409" t="str">
        <f>S.7thHearingCity&amp;" hearing"</f>
        <v>Enter city name hearing</v>
      </c>
      <c r="C369" s="347"/>
      <c r="D369" s="277" t="s">
        <v>379</v>
      </c>
      <c r="E369" s="368">
        <f t="shared" si="956"/>
        <v>1</v>
      </c>
      <c r="F369" s="491">
        <f t="shared" ca="1" si="957"/>
        <v>29</v>
      </c>
      <c r="G369" s="455">
        <f>S.7thHearingDate</f>
        <v>41501</v>
      </c>
      <c r="H369" s="456">
        <f>S.7thHearingDate</f>
        <v>41501</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48"/>
        <v>1</v>
      </c>
      <c r="AAF369" s="112"/>
      <c r="AAG369" s="93"/>
      <c r="AAH369" s="93"/>
      <c r="AAI369" s="77"/>
      <c r="AAJ369" s="77"/>
      <c r="AAK369" s="77"/>
      <c r="AAL369" s="80"/>
      <c r="AAM369" s="112"/>
      <c r="AAN369"/>
      <c r="AAT369" s="23"/>
      <c r="AAU369" s="44"/>
    </row>
    <row r="370" spans="1:732" ht="15" hidden="1" customHeight="1" outlineLevel="1" collapsed="1">
      <c r="A370" s="558"/>
      <c r="B370" s="410" t="str">
        <f>S.LastHearingCity&amp;" hearing"</f>
        <v>Enter city name hearing</v>
      </c>
      <c r="C370" s="347"/>
      <c r="D370" s="277" t="s">
        <v>379</v>
      </c>
      <c r="E370" s="368">
        <f t="shared" si="956"/>
        <v>1</v>
      </c>
      <c r="F370" s="491">
        <f t="shared" ca="1" si="957"/>
        <v>29</v>
      </c>
      <c r="G370" s="455">
        <f>S.LastHearingDate</f>
        <v>41501</v>
      </c>
      <c r="H370" s="456">
        <f>S.LastHearingDate</f>
        <v>41501</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48"/>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44</v>
      </c>
      <c r="E371" s="368">
        <f t="shared" si="956"/>
        <v>3</v>
      </c>
      <c r="F371" s="491">
        <f t="shared" ca="1" si="957"/>
        <v>31</v>
      </c>
      <c r="G371" s="449">
        <f t="shared" ref="G371:H371" si="958">AAG371</f>
        <v>41501</v>
      </c>
      <c r="H371" s="449">
        <f t="shared" si="958"/>
        <v>41505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48"/>
        <v>1</v>
      </c>
      <c r="AAF371" s="112"/>
      <c r="AAG371" s="78">
        <f>S.LastHearingDate</f>
        <v>41501</v>
      </c>
      <c r="AAH371" s="78">
        <f>S.CloseComment</f>
        <v>41505</v>
      </c>
      <c r="AAI371" s="64"/>
      <c r="AAJ371" s="79"/>
      <c r="AAK371" s="79"/>
      <c r="AAL371" s="89" t="str">
        <f>"Add info to "&amp;S.CodeName&amp;"COMMENTS"</f>
        <v>Add info to COMMENTS</v>
      </c>
      <c r="AAM371" s="112"/>
      <c r="AAN371"/>
      <c r="AAT371" s="23"/>
      <c r="AAU371" s="44"/>
    </row>
    <row r="372" spans="1:732" s="23" customFormat="1" ht="15" customHeight="1" outlineLevel="1">
      <c r="A372" s="558"/>
      <c r="B372" s="461" t="str">
        <f>AAL372</f>
        <v>Add PO report to STAFF.RPT</v>
      </c>
      <c r="C372" s="168"/>
      <c r="D372" s="277" t="s">
        <v>44</v>
      </c>
      <c r="E372" s="368">
        <f t="shared" ref="E372" si="959">NETWORKDAYS(G372,H372,S.DDL_DEQClosed)</f>
        <v>3</v>
      </c>
      <c r="F372" s="491">
        <f t="shared" ref="F372" ca="1" si="960">NETWORKDAYS(TODAY(),H372)</f>
        <v>31</v>
      </c>
      <c r="G372" s="449">
        <f t="shared" ref="G372" si="961">AAG372</f>
        <v>41501</v>
      </c>
      <c r="H372" s="449">
        <f t="shared" ref="H372" si="962">AAH372</f>
        <v>41505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48"/>
        <v>1</v>
      </c>
      <c r="AAF372" s="112"/>
      <c r="AAG372" s="78">
        <f>S.LastHearingDate</f>
        <v>41501</v>
      </c>
      <c r="AAH372" s="78">
        <f>S.CloseComment</f>
        <v>41505</v>
      </c>
      <c r="AAI372" s="64"/>
      <c r="AAJ372" s="77"/>
      <c r="AAK372" s="77"/>
      <c r="AAL372" s="89" t="str">
        <f>"Add PO report to "&amp;S.CodeName&amp;"STAFF.RPT"</f>
        <v>Add PO report to STAFF.RPT</v>
      </c>
      <c r="AAM372" s="112"/>
      <c r="AAU372" s="44"/>
    </row>
    <row r="373" spans="1:732" ht="18" customHeight="1" outlineLevel="1">
      <c r="A373" s="558"/>
      <c r="B373" s="299" t="s">
        <v>43</v>
      </c>
      <c r="C373" s="720"/>
      <c r="D373" s="197"/>
      <c r="E373" s="160"/>
      <c r="F373" s="160"/>
      <c r="G373" s="145"/>
      <c r="H373" s="658">
        <f>S.CloseComment</f>
        <v>41505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3">IF(S.InvolveNotice=TRUE,1,0)</f>
        <v>1</v>
      </c>
      <c r="AAF373" s="112"/>
      <c r="AAG373" s="78">
        <f>S.CloseComment</f>
        <v>41505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168</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3"/>
        <v>1</v>
      </c>
      <c r="AAF374" s="583" t="s">
        <v>185</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1"/>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3"/>
        <v>1</v>
      </c>
      <c r="AAF375" s="583" t="s">
        <v>185</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222</v>
      </c>
      <c r="C376" s="168"/>
      <c r="D376" s="277" t="s">
        <v>166</v>
      </c>
      <c r="E376" s="368">
        <f t="shared" ref="E376:E382" si="964">NETWORKDAYS(G376,H376,S.DDL_DEQClosed)</f>
        <v>28</v>
      </c>
      <c r="F376" s="491">
        <f t="shared" ref="F376:F386" ca="1" si="965">NETWORKDAYS(TODAY(),H376)</f>
        <v>33</v>
      </c>
      <c r="G376" s="449">
        <f>AAG376</f>
        <v>41470</v>
      </c>
      <c r="H376" s="449">
        <v>41507</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3"/>
        <v>1</v>
      </c>
      <c r="AAF376" s="112"/>
      <c r="AAG376" s="78">
        <f>S.PostNoticeToRegistry</f>
        <v>41470</v>
      </c>
      <c r="AAH376" s="78">
        <f>S.SubmitStaffRpt</f>
        <v>41527</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166</v>
      </c>
      <c r="E377" s="448">
        <f t="shared" si="964"/>
        <v>13</v>
      </c>
      <c r="F377" s="491">
        <f t="shared" ca="1" si="965"/>
        <v>33</v>
      </c>
      <c r="G377" s="449">
        <f>AAG377</f>
        <v>41491</v>
      </c>
      <c r="H377" s="449">
        <v>41507</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3"/>
        <v>1</v>
      </c>
      <c r="AAF377" s="112"/>
      <c r="AAG377" s="78">
        <f>WORKDAY(S.PublicNoticeInBulletin+1,1,S.DDL_DEQClosed)</f>
        <v>41491</v>
      </c>
      <c r="AAH377" s="78">
        <f>S.SubmitStaffRpt</f>
        <v>41527</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163</v>
      </c>
      <c r="C378" s="721"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3"/>
        <v>1</v>
      </c>
      <c r="AAF378" s="583" t="s">
        <v>185</v>
      </c>
      <c r="AAG378" s="76"/>
      <c r="AAH378" s="76"/>
      <c r="AAI378" s="77"/>
      <c r="AAJ378" s="77"/>
      <c r="AAK378" s="77"/>
      <c r="AAL378" s="57"/>
      <c r="AAM378" s="112"/>
      <c r="AAU378" s="44"/>
    </row>
    <row r="379" spans="1:732" s="23" customFormat="1" ht="15" customHeight="1" outlineLevel="1">
      <c r="A379" s="558"/>
      <c r="B379" s="132" t="str">
        <f>AAL379</f>
        <v>Develop COMMENTS</v>
      </c>
      <c r="C379" s="721"/>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3"/>
        <v>1</v>
      </c>
      <c r="AAF379" s="583" t="s">
        <v>185</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191</v>
      </c>
      <c r="C380" s="168"/>
      <c r="D380" s="277" t="s">
        <v>374</v>
      </c>
      <c r="E380" s="448">
        <f t="shared" ref="E380" si="966">NETWORKDAYS(G380,H380,S.DDL_DEQClosed)</f>
        <v>13</v>
      </c>
      <c r="F380" s="491">
        <f t="shared" ref="F380" ca="1" si="967">NETWORKDAYS(TODAY(),H380)</f>
        <v>33</v>
      </c>
      <c r="G380" s="449">
        <f t="shared" ref="G380:G385" si="968">AAG380</f>
        <v>41491</v>
      </c>
      <c r="H380" s="449">
        <v>41507</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3"/>
        <v>1</v>
      </c>
      <c r="AAF380" s="112"/>
      <c r="AAG380" s="78">
        <f t="shared" ref="AAG380:AAG386" si="969">WORKDAY(S.PublicNoticeInBulletin+1,1,S.DDL_DEQClosed)</f>
        <v>41491</v>
      </c>
      <c r="AAH380" s="78">
        <f t="shared" ref="AAH380:AAH386" si="970">S.SubmitStaffRpt</f>
        <v>41527</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192</v>
      </c>
      <c r="C381" s="168"/>
      <c r="D381" s="277" t="s">
        <v>374</v>
      </c>
      <c r="E381" s="448">
        <f t="shared" ref="E381" si="971">NETWORKDAYS(G381,H381,S.DDL_DEQClosed)</f>
        <v>13</v>
      </c>
      <c r="F381" s="491">
        <f t="shared" ref="F381" ca="1" si="972">NETWORKDAYS(TODAY(),H381)</f>
        <v>33</v>
      </c>
      <c r="G381" s="449">
        <f t="shared" si="968"/>
        <v>41491</v>
      </c>
      <c r="H381" s="449">
        <v>41507</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3"/>
        <v>1</v>
      </c>
      <c r="AAF381" s="112"/>
      <c r="AAG381" s="78">
        <f t="shared" si="969"/>
        <v>41491</v>
      </c>
      <c r="AAH381" s="78">
        <f t="shared" si="970"/>
        <v>41527</v>
      </c>
      <c r="AAI381" s="77"/>
      <c r="AAJ381" s="80"/>
      <c r="AAK381" s="80"/>
      <c r="AAL381" s="57"/>
      <c r="AAM381" s="112"/>
      <c r="AAU381" s="44"/>
      <c r="AAV381"/>
      <c r="AAW381"/>
      <c r="AAX381"/>
      <c r="AAY381"/>
      <c r="AAZ381"/>
      <c r="ABA381"/>
      <c r="ABB381"/>
      <c r="ABC381"/>
      <c r="ABD381"/>
    </row>
    <row r="382" spans="1:732" ht="15" customHeight="1" outlineLevel="1">
      <c r="A382" s="558"/>
      <c r="B382" s="465" t="s">
        <v>178</v>
      </c>
      <c r="C382" s="239"/>
      <c r="D382" s="277" t="s">
        <v>374</v>
      </c>
      <c r="E382" s="448">
        <f t="shared" si="964"/>
        <v>17</v>
      </c>
      <c r="F382" s="491">
        <f t="shared" ca="1" si="965"/>
        <v>37</v>
      </c>
      <c r="G382" s="449">
        <f t="shared" si="968"/>
        <v>41491</v>
      </c>
      <c r="H382" s="449">
        <v>41513</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3"/>
        <v>1</v>
      </c>
      <c r="AAF382" s="112"/>
      <c r="AAG382" s="78">
        <f t="shared" si="969"/>
        <v>41491</v>
      </c>
      <c r="AAH382" s="78">
        <f t="shared" si="970"/>
        <v>41527</v>
      </c>
      <c r="AAI382" s="77"/>
      <c r="AAJ382" s="57"/>
      <c r="AAK382" s="57"/>
      <c r="AAL382" s="57"/>
      <c r="AAM382" s="112"/>
      <c r="AAN382"/>
      <c r="AAT382" s="23"/>
      <c r="AAU382" s="44"/>
    </row>
    <row r="383" spans="1:732" ht="15" customHeight="1" outlineLevel="1">
      <c r="A383" s="558"/>
      <c r="B383" s="424" t="s">
        <v>79</v>
      </c>
      <c r="C383" s="239"/>
      <c r="D383" s="279" t="s">
        <v>16</v>
      </c>
      <c r="E383" s="368">
        <f>NETWORKDAYS(G383,H383,S.DDL_DEQClosed)</f>
        <v>4</v>
      </c>
      <c r="F383" s="491">
        <f t="shared" ca="1" si="965"/>
        <v>40</v>
      </c>
      <c r="G383" s="449">
        <v>41513</v>
      </c>
      <c r="H383" s="449">
        <v>41516</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3"/>
        <v>1</v>
      </c>
      <c r="AAF383" s="112"/>
      <c r="AAG383" s="78">
        <f t="shared" si="969"/>
        <v>41491</v>
      </c>
      <c r="AAH383" s="78">
        <f t="shared" si="970"/>
        <v>41527</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26</v>
      </c>
      <c r="F384" s="491">
        <f t="shared" ca="1" si="965"/>
        <v>47</v>
      </c>
      <c r="G384" s="449">
        <f t="shared" si="968"/>
        <v>41491</v>
      </c>
      <c r="H384" s="449">
        <f t="shared" ref="H384:H385" si="973">AAH384</f>
        <v>41527</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3"/>
        <v>1</v>
      </c>
      <c r="AAF384" s="112"/>
      <c r="AAG384" s="78">
        <f t="shared" si="969"/>
        <v>41491</v>
      </c>
      <c r="AAH384" s="78">
        <f t="shared" si="970"/>
        <v>41527</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26</v>
      </c>
      <c r="F385" s="491">
        <f t="shared" ca="1" si="965"/>
        <v>47</v>
      </c>
      <c r="G385" s="449">
        <f t="shared" si="968"/>
        <v>41491</v>
      </c>
      <c r="H385" s="449">
        <f t="shared" si="973"/>
        <v>41527</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3"/>
        <v>1</v>
      </c>
      <c r="AAF385" s="112"/>
      <c r="AAG385" s="78">
        <f t="shared" si="969"/>
        <v>41491</v>
      </c>
      <c r="AAH385" s="78">
        <f t="shared" si="970"/>
        <v>41527</v>
      </c>
      <c r="AAI385" s="77"/>
      <c r="AAJ385" s="57"/>
      <c r="AAK385" s="57"/>
      <c r="AAL385" s="57"/>
      <c r="AAM385" s="112"/>
      <c r="AAN385"/>
      <c r="AAT385" s="23"/>
      <c r="AAU385" s="44"/>
    </row>
    <row r="386" spans="1:732" ht="15" customHeight="1" outlineLevel="1">
      <c r="A386" s="558"/>
      <c r="B386" s="427" t="s">
        <v>82</v>
      </c>
      <c r="C386" s="239"/>
      <c r="D386" s="279" t="s">
        <v>16</v>
      </c>
      <c r="E386" s="368">
        <f>NETWORKDAYS(G386,H386,S.DDL_DEQClosed)</f>
        <v>3</v>
      </c>
      <c r="F386" s="491">
        <f t="shared" ca="1" si="965"/>
        <v>44</v>
      </c>
      <c r="G386" s="449">
        <v>41520</v>
      </c>
      <c r="H386" s="449">
        <v>41522</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3"/>
        <v>1</v>
      </c>
      <c r="AAF386" s="112"/>
      <c r="AAG386" s="78">
        <f t="shared" si="969"/>
        <v>41491</v>
      </c>
      <c r="AAH386" s="78">
        <f t="shared" si="970"/>
        <v>41527</v>
      </c>
      <c r="AAI386" s="77"/>
      <c r="AAJ386" s="57"/>
      <c r="AAK386" s="57"/>
      <c r="AAL386" s="57"/>
      <c r="AAM386" s="112"/>
      <c r="AAN386"/>
      <c r="AAT386" s="23"/>
      <c r="AAU386" s="44"/>
    </row>
    <row r="387" spans="1:732" ht="96.75" customHeight="1" outlineLevel="1">
      <c r="A387" s="558"/>
      <c r="B387" s="757" t="s">
        <v>359</v>
      </c>
      <c r="C387" s="757"/>
      <c r="D387" s="757"/>
      <c r="E387" s="757"/>
      <c r="F387" s="757"/>
      <c r="G387" s="757"/>
      <c r="H387" s="757"/>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3"/>
        <v>1</v>
      </c>
      <c r="AAF387" s="583" t="s">
        <v>185</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3"/>
        <v>1</v>
      </c>
      <c r="AAF388" s="583" t="s">
        <v>185</v>
      </c>
      <c r="AAG388" s="63"/>
      <c r="AAH388" s="63"/>
      <c r="AAI388" s="77"/>
      <c r="AAJ388" s="57"/>
      <c r="AAK388" s="57"/>
      <c r="AAL388" s="57"/>
      <c r="AAM388" s="112"/>
      <c r="AAN388"/>
      <c r="AAT388" s="23"/>
      <c r="AAU388" s="44"/>
    </row>
    <row r="389" spans="1:732" ht="15" customHeight="1" outlineLevel="1">
      <c r="A389" s="558"/>
      <c r="B389" s="343" t="s">
        <v>156</v>
      </c>
      <c r="C389" s="168"/>
      <c r="D389" s="277" t="s">
        <v>166</v>
      </c>
      <c r="E389" s="448">
        <f t="shared" ref="E389" si="974">NETWORKDAYS(G389,H389,S.DDL_DEQClosed)</f>
        <v>1</v>
      </c>
      <c r="F389" s="491">
        <f t="shared" ref="F389" ca="1" si="975">NETWORKDAYS(TODAY(),H389)</f>
        <v>44</v>
      </c>
      <c r="G389" s="449">
        <f t="shared" ref="G389:H389" si="976">AAG389</f>
        <v>41522</v>
      </c>
      <c r="H389" s="455">
        <f t="shared" si="976"/>
        <v>41522</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3"/>
        <v>1</v>
      </c>
      <c r="AAF389" s="112"/>
      <c r="AAG389" s="78">
        <f>H386</f>
        <v>41522</v>
      </c>
      <c r="AAH389" s="78">
        <f>G389</f>
        <v>41522</v>
      </c>
      <c r="AAI389" s="77"/>
      <c r="AAJ389" s="57"/>
      <c r="AAK389" s="57"/>
      <c r="AAL389" s="57"/>
      <c r="AAM389" s="112"/>
      <c r="AAN389"/>
      <c r="AAT389" s="23"/>
      <c r="AAU389" s="44"/>
    </row>
    <row r="390" spans="1:732" ht="6" customHeight="1">
      <c r="A390" s="558"/>
      <c r="B390" s="144"/>
      <c r="C390" s="689"/>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185</v>
      </c>
      <c r="AAG390" s="63"/>
      <c r="AAH390" s="63"/>
      <c r="AAI390" s="77"/>
      <c r="AAJ390" s="57"/>
      <c r="AAK390" s="57"/>
      <c r="AAL390" s="57"/>
      <c r="AAM390" s="112"/>
      <c r="AAN390"/>
      <c r="AAT390" s="23"/>
      <c r="AAU390" s="44"/>
    </row>
    <row r="391" spans="1:732" s="23" customFormat="1" ht="18" customHeight="1">
      <c r="A391" s="558"/>
      <c r="B391" s="778" t="s">
        <v>101</v>
      </c>
      <c r="C391" s="778"/>
      <c r="D391" s="778"/>
      <c r="E391" s="778"/>
      <c r="F391" s="778"/>
      <c r="G391" s="778"/>
      <c r="H391" s="778"/>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185</v>
      </c>
      <c r="AAG391" s="112"/>
      <c r="AAH391" s="112"/>
      <c r="AAI391" s="77"/>
      <c r="AAJ391" s="90"/>
      <c r="AAK391" s="90"/>
      <c r="AAL391" s="76"/>
      <c r="AAM391" s="112"/>
      <c r="AAU391" s="44"/>
    </row>
    <row r="392" spans="1:732" s="23" customFormat="1" ht="18" customHeight="1">
      <c r="A392" s="558"/>
      <c r="B392" s="301" t="s">
        <v>15</v>
      </c>
      <c r="C392" s="703"/>
      <c r="D392" s="150" t="s">
        <v>254</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258</v>
      </c>
      <c r="AAF392" s="583" t="s">
        <v>185</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67</v>
      </c>
      <c r="G393" s="302">
        <f>AAG393</f>
        <v>41470</v>
      </c>
      <c r="H393" s="303">
        <f>AAH393</f>
        <v>41563</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258</v>
      </c>
      <c r="AAF393" s="583" t="s">
        <v>185</v>
      </c>
      <c r="AAG393" s="78">
        <f>S.SubmitNoticeToSOS</f>
        <v>41470</v>
      </c>
      <c r="AAH393" s="78">
        <f>S.EQCMeeting</f>
        <v>41563</v>
      </c>
      <c r="AAI393" s="77"/>
      <c r="AAJ393" s="57"/>
      <c r="AAK393" s="57"/>
      <c r="AAL393" s="57"/>
      <c r="AAM393" s="112"/>
      <c r="AAN393"/>
      <c r="AAT393" s="23"/>
      <c r="AAU393" s="44"/>
    </row>
    <row r="394" spans="1:732" ht="6" customHeight="1">
      <c r="A394" s="558"/>
      <c r="B394" s="206"/>
      <c r="C394" s="688"/>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185</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77">NETWORKDAYS(G395,H395,S.DDL_DEQClosed)</f>
        <v>14</v>
      </c>
      <c r="F395" s="491">
        <f t="shared" ref="F395" ca="1" si="978">NETWORKDAYS(TODAY(),H395)</f>
        <v>19</v>
      </c>
      <c r="G395" s="437">
        <f t="shared" ref="G395" si="979">AAG395</f>
        <v>41470</v>
      </c>
      <c r="H395" s="437">
        <v>41487</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41470</v>
      </c>
      <c r="AAH395" s="78">
        <f>S.SubmitStaffRpt</f>
        <v>41527</v>
      </c>
      <c r="AAI395" s="77"/>
      <c r="AAJ395" s="57"/>
      <c r="AAK395" s="57"/>
      <c r="AAL395" s="57"/>
      <c r="AAM395" s="112"/>
      <c r="AAN395"/>
      <c r="AAT395" s="23"/>
      <c r="AAU395" s="44"/>
    </row>
    <row r="396" spans="1:732" s="23" customFormat="1" ht="15" customHeight="1" outlineLevel="1">
      <c r="A396" s="558"/>
      <c r="B396" s="480" t="str">
        <f>AAJ396</f>
        <v>STAFF.RPT.Permanent (blank in folder 6)</v>
      </c>
      <c r="C396" s="187"/>
      <c r="D396" s="277"/>
      <c r="E396" s="191"/>
      <c r="F396" s="495"/>
      <c r="G396" s="732"/>
      <c r="H396" s="732"/>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389</v>
      </c>
      <c r="C397" s="722"/>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185</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390</v>
      </c>
      <c r="C398" s="722"/>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185</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8" t="s">
        <v>326</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185</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42</v>
      </c>
      <c r="C400" s="723"/>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0">IF(S.InvolveNotice=TRUE,1,0)</f>
        <v>1</v>
      </c>
      <c r="AAF400" s="583" t="s">
        <v>185</v>
      </c>
      <c r="AAG400" s="117"/>
      <c r="AAH400" s="117"/>
      <c r="AAI400" s="77"/>
      <c r="AAJ400" s="57"/>
      <c r="AAK400" s="57"/>
      <c r="AAL400" s="57"/>
      <c r="AAM400" s="112"/>
      <c r="AAN400"/>
      <c r="AAT400" s="23"/>
      <c r="AAU400" s="44"/>
    </row>
    <row r="401" spans="1:732" ht="15" customHeight="1" outlineLevel="1">
      <c r="A401" s="558"/>
      <c r="B401" s="346" t="s">
        <v>41</v>
      </c>
      <c r="C401" s="724"/>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0"/>
        <v>1</v>
      </c>
      <c r="AAF401" s="583" t="s">
        <v>185</v>
      </c>
      <c r="AAG401" s="117"/>
      <c r="AAH401" s="117"/>
      <c r="AAI401" s="77"/>
      <c r="AAJ401" s="57"/>
      <c r="AAK401" s="57"/>
      <c r="AAL401" s="57"/>
      <c r="AAM401" s="112"/>
      <c r="AAN401"/>
      <c r="AAT401" s="23"/>
      <c r="AAU401" s="44"/>
    </row>
    <row r="402" spans="1:732" ht="15" customHeight="1" outlineLevel="1">
      <c r="A402" s="558"/>
      <c r="B402" s="346" t="s">
        <v>40</v>
      </c>
      <c r="C402" s="724"/>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0"/>
        <v>1</v>
      </c>
      <c r="AAF402" s="583" t="s">
        <v>185</v>
      </c>
      <c r="AAG402" s="117"/>
      <c r="AAH402" s="117"/>
      <c r="AAI402" s="77"/>
      <c r="AAJ402" s="57"/>
      <c r="AAK402" s="57"/>
      <c r="AAL402" s="57"/>
      <c r="AAM402" s="112"/>
      <c r="AAN402"/>
      <c r="AAT402" s="23"/>
      <c r="AAU402" s="44"/>
    </row>
    <row r="403" spans="1:732" ht="15" customHeight="1" outlineLevel="1">
      <c r="A403" s="558"/>
      <c r="B403" s="346" t="s">
        <v>39</v>
      </c>
      <c r="C403" s="724"/>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0"/>
        <v>1</v>
      </c>
      <c r="AAF403" s="583" t="s">
        <v>185</v>
      </c>
      <c r="AAG403" s="117"/>
      <c r="AAH403" s="117"/>
      <c r="AAI403" s="77"/>
      <c r="AAJ403" s="57"/>
      <c r="AAK403" s="57"/>
      <c r="AAL403" s="57"/>
      <c r="AAM403" s="112"/>
      <c r="AAN403"/>
      <c r="AAT403" s="23"/>
      <c r="AAU403" s="44"/>
    </row>
    <row r="404" spans="1:732" ht="15" customHeight="1" outlineLevel="1">
      <c r="A404" s="558"/>
      <c r="B404" s="346" t="s">
        <v>1</v>
      </c>
      <c r="C404" s="724"/>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0"/>
        <v>1</v>
      </c>
      <c r="AAF404" s="583" t="s">
        <v>185</v>
      </c>
      <c r="AAG404" s="117"/>
      <c r="AAH404" s="117"/>
      <c r="AAI404" s="77"/>
      <c r="AAJ404" s="57"/>
      <c r="AAK404" s="57"/>
      <c r="AAL404" s="57"/>
      <c r="AAM404" s="112"/>
      <c r="AAN404"/>
      <c r="AAT404" s="23"/>
      <c r="AAU404" s="44"/>
    </row>
    <row r="405" spans="1:732" ht="15" customHeight="1" outlineLevel="1">
      <c r="A405" s="558"/>
      <c r="B405" s="482" t="s">
        <v>38</v>
      </c>
      <c r="C405" s="724"/>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0"/>
        <v>1</v>
      </c>
      <c r="AAF405" s="583" t="s">
        <v>185</v>
      </c>
      <c r="AAG405" s="117"/>
      <c r="AAH405" s="117"/>
      <c r="AAI405" s="77"/>
      <c r="AAJ405" s="57"/>
      <c r="AAK405" s="57"/>
      <c r="AAL405" s="57"/>
      <c r="AAM405" s="112"/>
      <c r="AAN405"/>
      <c r="AAT405" s="23"/>
      <c r="AAU405" s="44"/>
    </row>
    <row r="406" spans="1:732" ht="15" customHeight="1" outlineLevel="1">
      <c r="A406" s="558"/>
      <c r="B406" s="462" t="s">
        <v>165</v>
      </c>
      <c r="C406" s="721" t="s">
        <v>0</v>
      </c>
      <c r="D406" s="277" t="s">
        <v>374</v>
      </c>
      <c r="E406" s="436">
        <f t="shared" ref="E406" si="981">NETWORKDAYS(G406,H406,S.DDL_DEQClosed)</f>
        <v>39</v>
      </c>
      <c r="F406" s="491">
        <f t="shared" ref="F406" ca="1" si="982">NETWORKDAYS(TODAY(),H406)</f>
        <v>45</v>
      </c>
      <c r="G406" s="437">
        <f t="shared" ref="G406" si="983">AAG406</f>
        <v>41470</v>
      </c>
      <c r="H406" s="437">
        <v>41523</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41470</v>
      </c>
      <c r="AAH406" s="78">
        <f t="shared" ref="AAH406" si="984">S.SubmitStaffRpt</f>
        <v>41527</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185</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37</v>
      </c>
      <c r="C408" s="722"/>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185</v>
      </c>
      <c r="AAG408" s="117"/>
      <c r="AAH408" s="117"/>
      <c r="AAI408" s="77"/>
      <c r="AAJ408" s="57"/>
      <c r="AAK408" s="57"/>
      <c r="AAL408" s="57"/>
      <c r="AAM408" s="112"/>
      <c r="AAN408"/>
      <c r="AAT408" s="23"/>
      <c r="AAU408" s="44"/>
    </row>
    <row r="409" spans="1:732" ht="15" customHeight="1" outlineLevel="1">
      <c r="A409" s="558"/>
      <c r="B409" s="362" t="s">
        <v>157</v>
      </c>
      <c r="C409" s="722"/>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185</v>
      </c>
      <c r="AAG409" s="117"/>
      <c r="AAH409" s="117"/>
      <c r="AAI409" s="77"/>
      <c r="AAJ409" s="57"/>
      <c r="AAK409" s="57"/>
      <c r="AAL409" s="57"/>
      <c r="AAM409" s="112"/>
      <c r="AAN409"/>
      <c r="AAT409" s="23"/>
      <c r="AAU409" s="44"/>
    </row>
    <row r="410" spans="1:732" ht="15" customHeight="1" outlineLevel="1">
      <c r="A410" s="558"/>
      <c r="B410" s="362" t="s">
        <v>36</v>
      </c>
      <c r="C410" s="722"/>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185</v>
      </c>
      <c r="AAG410" s="117"/>
      <c r="AAH410" s="117"/>
      <c r="AAI410" s="77"/>
      <c r="AAJ410" s="57"/>
      <c r="AAK410" s="57"/>
      <c r="AAL410" s="57"/>
      <c r="AAM410" s="112"/>
      <c r="AAN410"/>
      <c r="AAT410" s="23"/>
      <c r="AAU410" s="44"/>
    </row>
    <row r="411" spans="1:732" ht="15" customHeight="1" outlineLevel="1">
      <c r="A411" s="558"/>
      <c r="B411" s="362" t="s">
        <v>14</v>
      </c>
      <c r="C411" s="722"/>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185</v>
      </c>
      <c r="AAG411" s="117"/>
      <c r="AAH411" s="117"/>
      <c r="AAI411" s="77"/>
      <c r="AAJ411" s="57"/>
      <c r="AAK411" s="57"/>
      <c r="AAL411" s="57"/>
      <c r="AAM411" s="112"/>
      <c r="AAN411"/>
      <c r="AAT411" s="23"/>
      <c r="AAU411" s="44"/>
    </row>
    <row r="412" spans="1:732" ht="15" customHeight="1" outlineLevel="1">
      <c r="A412" s="558"/>
      <c r="B412" s="362" t="s">
        <v>35</v>
      </c>
      <c r="C412" s="722"/>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185</v>
      </c>
      <c r="AAG412" s="117"/>
      <c r="AAH412" s="117"/>
      <c r="AAI412" s="77"/>
      <c r="AAJ412" s="57"/>
      <c r="AAK412" s="57"/>
      <c r="AAL412" s="57"/>
      <c r="AAM412" s="112"/>
      <c r="AAN412"/>
      <c r="AAT412" s="23"/>
      <c r="AAU412" s="44"/>
    </row>
    <row r="413" spans="1:732" ht="15" customHeight="1" outlineLevel="1">
      <c r="A413" s="558"/>
      <c r="B413" s="362" t="s">
        <v>34</v>
      </c>
      <c r="C413" s="722"/>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185</v>
      </c>
      <c r="AAG413" s="117"/>
      <c r="AAH413" s="117"/>
      <c r="AAI413" s="77"/>
      <c r="AAJ413" s="57"/>
      <c r="AAK413" s="57"/>
      <c r="AAL413" s="57"/>
      <c r="AAM413" s="112"/>
      <c r="AAN413"/>
      <c r="AAT413" s="23"/>
      <c r="AAU413" s="44"/>
    </row>
    <row r="414" spans="1:732" ht="15" customHeight="1" outlineLevel="1">
      <c r="A414" s="558"/>
      <c r="B414" s="362" t="s">
        <v>195</v>
      </c>
      <c r="C414" s="722"/>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185</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287</v>
      </c>
      <c r="C415" s="194"/>
      <c r="D415" s="277" t="s">
        <v>158</v>
      </c>
      <c r="E415" s="436">
        <f t="shared" ref="E415" si="985">NETWORKDAYS(G415,H415,S.DDL_DEQClosed)</f>
        <v>40</v>
      </c>
      <c r="F415" s="491">
        <f t="shared" ref="F415" ca="1" si="986">NETWORKDAYS(TODAY(),H415)</f>
        <v>46</v>
      </c>
      <c r="G415" s="437">
        <f t="shared" ref="G415" si="987">AAG415</f>
        <v>41470</v>
      </c>
      <c r="H415" s="437">
        <v>41526</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41470</v>
      </c>
      <c r="AAH415" s="78">
        <f t="shared" ref="AAH415" si="988">S.SubmitStaffRpt</f>
        <v>41527</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2"/>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185</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89">AAJ417</f>
        <v>PROPOSED RULES</v>
      </c>
      <c r="C417" s="722"/>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185</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89"/>
        <v>STATE IMPLEMENTATION PLAN</v>
      </c>
      <c r="C418" s="722"/>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185</v>
      </c>
      <c r="AAG418" s="117"/>
      <c r="AAH418" s="117"/>
      <c r="AAI418" s="77"/>
      <c r="AAJ418" s="89" t="s">
        <v>360</v>
      </c>
      <c r="AAK418" s="574"/>
      <c r="AAL418" s="57"/>
      <c r="AAM418" s="112"/>
      <c r="AAN418"/>
      <c r="AAT418" s="23"/>
      <c r="AAU418" s="44"/>
    </row>
    <row r="419" spans="1:723" ht="15" customHeight="1" outlineLevel="1">
      <c r="A419" s="558"/>
      <c r="B419" s="132" t="str">
        <f t="shared" si="989"/>
        <v>Optional SUPPORTING.DOCS</v>
      </c>
      <c r="C419" s="722"/>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185</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288</v>
      </c>
      <c r="C420" s="725"/>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185</v>
      </c>
      <c r="AAG420" s="117"/>
      <c r="AAH420" s="117"/>
      <c r="AAI420" s="77"/>
      <c r="AAJ420" s="57"/>
      <c r="AAK420" s="57"/>
      <c r="AAL420" s="57"/>
      <c r="AAM420" s="112"/>
      <c r="AAN420"/>
      <c r="AAT420" s="23"/>
      <c r="AAU420" s="44"/>
    </row>
    <row r="421" spans="1:723" ht="15" customHeight="1" outlineLevel="1">
      <c r="A421" s="558"/>
      <c r="B421" s="484" t="s">
        <v>116</v>
      </c>
      <c r="C421" s="239"/>
      <c r="D421" s="279" t="s">
        <v>380</v>
      </c>
      <c r="E421" s="379">
        <f>NETWORKDAYS(G421,H421,S.DDL_DEQClosed)</f>
        <v>6</v>
      </c>
      <c r="F421" s="491">
        <f t="shared" ref="F421:F424" ca="1" si="990">NETWORKDAYS(TODAY(),H421)</f>
        <v>24</v>
      </c>
      <c r="G421" s="437">
        <v>41487</v>
      </c>
      <c r="H421" s="437">
        <v>41494</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41470</v>
      </c>
      <c r="AAH421" s="78">
        <f>S.SubmitStaffRpt</f>
        <v>41527</v>
      </c>
      <c r="AAI421" s="77"/>
      <c r="AAJ421" s="57"/>
      <c r="AAK421" s="57"/>
      <c r="AAL421" s="57"/>
      <c r="AAM421" s="112"/>
      <c r="AAN421"/>
      <c r="AAT421" s="23"/>
      <c r="AAU421" s="44"/>
    </row>
    <row r="422" spans="1:723" ht="15" customHeight="1" outlineLevel="1">
      <c r="A422" s="558"/>
      <c r="B422" s="485" t="s">
        <v>113</v>
      </c>
      <c r="C422" s="239"/>
      <c r="D422" s="279" t="s">
        <v>380</v>
      </c>
      <c r="E422" s="379">
        <f>NETWORKDAYS(G422,H422,S.DDL_DEQClosed)</f>
        <v>5</v>
      </c>
      <c r="F422" s="491">
        <f t="shared" ca="1" si="990"/>
        <v>30</v>
      </c>
      <c r="G422" s="437">
        <v>41498</v>
      </c>
      <c r="H422" s="437">
        <v>41502</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41494</v>
      </c>
      <c r="AAH422" s="78">
        <f>S.SubmitStaffRpt</f>
        <v>41527</v>
      </c>
      <c r="AAI422" s="77"/>
      <c r="AAJ422" s="57"/>
      <c r="AAK422" s="57"/>
      <c r="AAL422" s="57"/>
      <c r="AAM422" s="112"/>
      <c r="AAN422"/>
      <c r="AAT422" s="23"/>
      <c r="AAU422" s="44"/>
    </row>
    <row r="423" spans="1:723" ht="15" customHeight="1" outlineLevel="1">
      <c r="A423" s="558"/>
      <c r="B423" s="424" t="s">
        <v>114</v>
      </c>
      <c r="C423" s="239"/>
      <c r="D423" s="279" t="s">
        <v>380</v>
      </c>
      <c r="E423" s="379">
        <f>NETWORKDAYS(G423,H423,S.DDL_DEQClosed)</f>
        <v>17</v>
      </c>
      <c r="F423" s="491">
        <f t="shared" ca="1" si="990"/>
        <v>47</v>
      </c>
      <c r="G423" s="437">
        <f t="shared" ref="G423:H423" si="991">AAG423</f>
        <v>41502</v>
      </c>
      <c r="H423" s="437">
        <f t="shared" si="991"/>
        <v>41527</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41502</v>
      </c>
      <c r="AAH423" s="78">
        <f>S.SubmitStaffRpt</f>
        <v>41527</v>
      </c>
      <c r="AAI423" s="77"/>
      <c r="AAJ423" s="57"/>
      <c r="AAK423" s="57"/>
      <c r="AAL423" s="57"/>
      <c r="AAM423" s="112"/>
      <c r="AAN423"/>
      <c r="AAT423" s="23"/>
      <c r="AAU423" s="44"/>
    </row>
    <row r="424" spans="1:723" ht="15" customHeight="1" outlineLevel="1">
      <c r="A424" s="558"/>
      <c r="B424" s="425" t="s">
        <v>115</v>
      </c>
      <c r="C424" s="239"/>
      <c r="D424" s="279" t="s">
        <v>380</v>
      </c>
      <c r="E424" s="379">
        <f>NETWORKDAYS(G424,H424,S.DDL_DEQClosed)</f>
        <v>8</v>
      </c>
      <c r="F424" s="491">
        <f t="shared" ca="1" si="990"/>
        <v>44</v>
      </c>
      <c r="G424" s="437">
        <v>41512</v>
      </c>
      <c r="H424" s="437">
        <v>41522</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41527</v>
      </c>
      <c r="AAH424" s="78">
        <f>S.SubmitStaffRpt</f>
        <v>41527</v>
      </c>
      <c r="AAI424" s="77"/>
      <c r="AAJ424" s="57"/>
      <c r="AAK424" s="57"/>
      <c r="AAL424" s="57"/>
      <c r="AAM424" s="112"/>
      <c r="AAN424"/>
      <c r="AAT424" s="23"/>
      <c r="AAU424" s="44"/>
    </row>
    <row r="425" spans="1:723" ht="89.25" customHeight="1" outlineLevel="1">
      <c r="A425" s="558"/>
      <c r="B425" s="757" t="s">
        <v>361</v>
      </c>
      <c r="C425" s="757"/>
      <c r="D425" s="757"/>
      <c r="E425" s="757"/>
      <c r="F425" s="757"/>
      <c r="G425" s="757"/>
      <c r="H425" s="757"/>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185</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185</v>
      </c>
      <c r="AAG426" s="112"/>
      <c r="AAH426" s="112"/>
      <c r="AAI426" s="77"/>
      <c r="AAJ426" s="57"/>
      <c r="AAK426" s="57"/>
      <c r="AAL426" s="57"/>
      <c r="AAM426" s="112"/>
      <c r="AAN426"/>
      <c r="AAT426" s="23"/>
      <c r="AAU426" s="44"/>
    </row>
    <row r="427" spans="1:723" ht="15" customHeight="1" outlineLevel="1">
      <c r="A427" s="558"/>
      <c r="B427" s="343" t="s">
        <v>286</v>
      </c>
      <c r="C427" s="722"/>
      <c r="D427" s="277" t="s">
        <v>16</v>
      </c>
      <c r="E427" s="368">
        <f>NETWORKDAYS(G427,H427,S.DDL_DEQClosed)</f>
        <v>3</v>
      </c>
      <c r="F427" s="491">
        <f t="shared" ref="F427" ca="1" si="992">NETWORKDAYS(TODAY(),H427)</f>
        <v>47</v>
      </c>
      <c r="G427" s="472">
        <v>41523</v>
      </c>
      <c r="H427" s="370">
        <f>AAH427</f>
        <v>41527</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41522</v>
      </c>
      <c r="AAH427" s="78">
        <f>S.SubmitStaffRpt</f>
        <v>41527</v>
      </c>
      <c r="AAI427" s="77"/>
      <c r="AAJ427" s="57"/>
      <c r="AAK427" s="57"/>
      <c r="AAL427" s="57"/>
      <c r="AAM427" s="112"/>
      <c r="AAN427"/>
      <c r="AAT427" s="23"/>
      <c r="AAU427" s="44"/>
    </row>
    <row r="428" spans="1:723" ht="18" customHeight="1" outlineLevel="1">
      <c r="A428" s="558"/>
      <c r="B428" s="306" t="s">
        <v>267</v>
      </c>
      <c r="C428" s="722"/>
      <c r="D428" s="277" t="s">
        <v>158</v>
      </c>
      <c r="E428" s="448">
        <f>NETWORKDAYS(G428,H428,S.DDL_DEQClosed)</f>
        <v>1</v>
      </c>
      <c r="F428" s="491">
        <f ca="1">NETWORKDAYS(TODAY(),H428)</f>
        <v>47</v>
      </c>
      <c r="G428" s="455">
        <f t="shared" ref="G428:H428" si="993">AAG428</f>
        <v>41527</v>
      </c>
      <c r="H428" s="473">
        <f t="shared" si="993"/>
        <v>41527</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41527</v>
      </c>
      <c r="AAH428" s="78">
        <f>S.SubmitStaffRpt</f>
        <v>41527</v>
      </c>
      <c r="AAI428" s="77"/>
      <c r="AAJ428" s="57"/>
      <c r="AAK428" s="57"/>
      <c r="AAL428" s="57"/>
      <c r="AAM428" s="112"/>
      <c r="AAN428"/>
      <c r="AAT428" s="23"/>
      <c r="AAU428" s="44"/>
    </row>
    <row r="429" spans="1:723" ht="15" customHeight="1" outlineLevel="1">
      <c r="A429" s="558"/>
      <c r="B429" s="666" t="s">
        <v>123</v>
      </c>
      <c r="C429" s="722"/>
      <c r="D429" s="277" t="s">
        <v>384</v>
      </c>
      <c r="E429" s="448">
        <f>NETWORKDAYS(G429,H429,S.DDL_DEQClosed)</f>
        <v>5</v>
      </c>
      <c r="F429" s="491">
        <f ca="1">NETWORKDAYS(TODAY(),H429)</f>
        <v>51</v>
      </c>
      <c r="G429" s="472">
        <f t="shared" ref="G429:H433" si="994">AAG429</f>
        <v>41527</v>
      </c>
      <c r="H429" s="472">
        <f t="shared" si="994"/>
        <v>41533</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41527</v>
      </c>
      <c r="AAH429" s="78">
        <f>WORKDAY(S.SubmitStaffRpt+4,1, S.DDL_DEQClosed)</f>
        <v>41533</v>
      </c>
      <c r="AAI429" s="77"/>
      <c r="AAJ429" s="57"/>
      <c r="AAK429" s="57"/>
      <c r="AAL429" s="57"/>
      <c r="AAM429" s="112"/>
      <c r="AAN429"/>
      <c r="AAT429" s="23"/>
      <c r="AAU429" s="44"/>
    </row>
    <row r="430" spans="1:723" ht="15" customHeight="1" outlineLevel="1">
      <c r="A430" s="558"/>
      <c r="B430" s="133" t="s">
        <v>32</v>
      </c>
      <c r="C430" s="722"/>
      <c r="D430" s="277" t="s">
        <v>376</v>
      </c>
      <c r="E430" s="448">
        <f>NETWORKDAYS(G430,H430,S.DDL_DEQClosed)</f>
        <v>66</v>
      </c>
      <c r="F430" s="491">
        <f ca="1">NETWORKDAYS(TODAY(),H430)</f>
        <v>72</v>
      </c>
      <c r="G430" s="472">
        <f t="shared" si="994"/>
        <v>41470</v>
      </c>
      <c r="H430" s="472">
        <f t="shared" si="994"/>
        <v>41562</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41470</v>
      </c>
      <c r="AAH430" s="78">
        <f>S.EQCMeeting-1</f>
        <v>41562</v>
      </c>
      <c r="AAI430" s="77"/>
      <c r="AAJ430" s="57"/>
      <c r="AAK430" s="57"/>
      <c r="AAL430" s="57"/>
      <c r="AAM430" s="112"/>
      <c r="AAN430"/>
      <c r="AAT430" s="23"/>
      <c r="AAU430" s="44"/>
    </row>
    <row r="431" spans="1:723" ht="15" customHeight="1" outlineLevel="1">
      <c r="A431" s="558"/>
      <c r="B431" s="439" t="s">
        <v>196</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185</v>
      </c>
      <c r="AAG431" s="117"/>
      <c r="AAH431" s="117"/>
      <c r="AAI431" s="77"/>
      <c r="AAJ431" s="57"/>
      <c r="AAK431" s="57"/>
      <c r="AAL431" s="57"/>
      <c r="AAM431" s="112"/>
      <c r="AAN431"/>
      <c r="AAT431" s="23"/>
      <c r="AAU431" s="44"/>
    </row>
    <row r="432" spans="1:723" ht="15" customHeight="1" outlineLevel="1">
      <c r="A432" s="558"/>
      <c r="B432" s="475" t="s">
        <v>128</v>
      </c>
      <c r="C432" s="726"/>
      <c r="D432" s="278" t="s">
        <v>374</v>
      </c>
      <c r="E432" s="368">
        <f>NETWORKDAYS(G432,H432,S.DDL_DEQClosed)</f>
        <v>5</v>
      </c>
      <c r="F432" s="491">
        <f ca="1">NETWORKDAYS(TODAY(),H432)</f>
        <v>66</v>
      </c>
      <c r="G432" s="472">
        <v>41548</v>
      </c>
      <c r="H432" s="472">
        <v>41554</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41562</v>
      </c>
      <c r="AAH432" s="78">
        <f>G432</f>
        <v>41548</v>
      </c>
      <c r="AAI432" s="77"/>
      <c r="AAJ432" s="57"/>
      <c r="AAK432" s="57"/>
      <c r="AAL432" s="57" t="s">
        <v>0</v>
      </c>
      <c r="AAM432" s="112"/>
      <c r="AAN432"/>
      <c r="AAT432" s="23"/>
      <c r="AAU432" s="44"/>
    </row>
    <row r="433" spans="1:732" ht="15" customHeight="1" outlineLevel="1">
      <c r="A433" s="558"/>
      <c r="B433" s="476" t="s">
        <v>31</v>
      </c>
      <c r="C433" s="726"/>
      <c r="D433" s="308" t="s">
        <v>158</v>
      </c>
      <c r="E433" s="368">
        <f>NETWORKDAYS(G433,H433,S.DDL_DEQClosed)</f>
        <v>3</v>
      </c>
      <c r="F433" s="491">
        <f ca="1">NETWORKDAYS(TODAY(),H433)</f>
        <v>68</v>
      </c>
      <c r="G433" s="472">
        <f t="shared" si="994"/>
        <v>41554</v>
      </c>
      <c r="H433" s="472">
        <v>41556</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41554</v>
      </c>
      <c r="AAH433" s="78">
        <f>G433</f>
        <v>41554</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185</v>
      </c>
      <c r="AAG434" s="112"/>
      <c r="AAH434" s="112"/>
      <c r="AAI434" s="77"/>
      <c r="AAJ434" s="56"/>
      <c r="AAK434" s="56"/>
      <c r="AAL434" s="56"/>
      <c r="AAM434" s="112"/>
      <c r="AAN434"/>
      <c r="AAT434" s="23"/>
      <c r="AAU434" s="44"/>
    </row>
    <row r="435" spans="1:732" ht="15" customHeight="1" outlineLevel="1">
      <c r="A435" s="558"/>
      <c r="B435" s="478" t="s">
        <v>176</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185</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41563</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41563</v>
      </c>
      <c r="AAH436" s="78">
        <f>S.EQCMeeting</f>
        <v>41563</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185</v>
      </c>
      <c r="AAG437" s="63"/>
      <c r="AAH437" s="63"/>
      <c r="AAI437" s="77"/>
      <c r="AAJ437" s="57"/>
      <c r="AAK437" s="57"/>
      <c r="AAL437" s="57"/>
      <c r="AAM437" s="112"/>
      <c r="AAN437"/>
      <c r="AAT437" s="23"/>
      <c r="AAU437" s="44"/>
    </row>
    <row r="438" spans="1:732" s="23" customFormat="1" ht="18" customHeight="1">
      <c r="A438" s="558"/>
      <c r="B438" s="778" t="s">
        <v>183</v>
      </c>
      <c r="C438" s="778"/>
      <c r="D438" s="778"/>
      <c r="E438" s="778"/>
      <c r="F438" s="778"/>
      <c r="G438" s="778"/>
      <c r="H438" s="778"/>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185</v>
      </c>
      <c r="AAG438" s="77"/>
      <c r="AAH438" s="77"/>
      <c r="AAI438" s="77"/>
      <c r="AAJ438" s="90"/>
      <c r="AAK438" s="90"/>
      <c r="AAL438" s="76"/>
      <c r="AAM438" s="112"/>
      <c r="AAU438" s="44"/>
    </row>
    <row r="439" spans="1:732" s="23" customFormat="1" ht="18" customHeight="1">
      <c r="A439" s="558"/>
      <c r="B439" s="301" t="s">
        <v>15</v>
      </c>
      <c r="C439" s="703"/>
      <c r="D439" s="150" t="s">
        <v>254</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258</v>
      </c>
      <c r="AAF439" s="583" t="s">
        <v>185</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41527</v>
      </c>
      <c r="H440" s="274">
        <f>AAH440</f>
        <v>41624</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258</v>
      </c>
      <c r="AAF440" s="583" t="s">
        <v>185</v>
      </c>
      <c r="AAG440" s="78">
        <f>S.SubmitStaffRpt</f>
        <v>41527</v>
      </c>
      <c r="AAH440" s="78">
        <f>WORKDAY(S.EQCMeeting+60,1,S.DDL_DEQClosed)</f>
        <v>41624</v>
      </c>
      <c r="AAI440" s="77"/>
      <c r="AAJ440" s="57"/>
      <c r="AAK440" s="57"/>
      <c r="AAL440" s="57"/>
      <c r="AAM440" s="112"/>
      <c r="AAN440"/>
      <c r="AAT440" s="23"/>
      <c r="AAU440" s="44"/>
    </row>
    <row r="441" spans="1:732" ht="6" customHeight="1">
      <c r="A441" s="558"/>
      <c r="B441" s="206"/>
      <c r="C441" s="688"/>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185</v>
      </c>
      <c r="AAG441" s="63"/>
      <c r="AAH441" s="63"/>
      <c r="AAI441" s="77"/>
      <c r="AAJ441" s="57"/>
      <c r="AAK441" s="57"/>
      <c r="AAL441" s="57"/>
      <c r="AAM441" s="112"/>
      <c r="AAN441"/>
      <c r="AAT441" s="23"/>
      <c r="AAU441" s="44"/>
    </row>
    <row r="442" spans="1:732" ht="16.5" customHeight="1" outlineLevel="2">
      <c r="A442" s="558"/>
      <c r="B442" s="462" t="s">
        <v>173</v>
      </c>
      <c r="C442" s="689"/>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185</v>
      </c>
      <c r="AAG442" s="63"/>
      <c r="AAH442" s="63"/>
      <c r="AAI442" s="77"/>
      <c r="AAJ442" s="57"/>
      <c r="AAK442" s="57"/>
      <c r="AAL442" s="57"/>
      <c r="AAM442" s="112"/>
      <c r="AAN442"/>
      <c r="AAT442" s="23"/>
      <c r="AAU442" s="44"/>
    </row>
    <row r="443" spans="1:732" ht="15.75" customHeight="1" outlineLevel="2">
      <c r="A443" s="558"/>
      <c r="B443" s="415" t="s">
        <v>133</v>
      </c>
      <c r="C443" s="727"/>
      <c r="D443" s="277" t="s">
        <v>160</v>
      </c>
      <c r="E443" s="368">
        <f t="shared" ref="E443:E458" si="995">NETWORKDAYS(G443,H443,S.DDL_DEQClosed)</f>
        <v>1</v>
      </c>
      <c r="F443" s="372">
        <f t="shared" ref="F443:F458" ca="1" si="996">NETWORKDAYS(TODAY(),H443)</f>
        <v>73</v>
      </c>
      <c r="G443" s="471">
        <f>AAG443</f>
        <v>41563</v>
      </c>
      <c r="H443" s="369">
        <f>AAH443</f>
        <v>41563</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41563</v>
      </c>
      <c r="AAH443" s="78">
        <f>G443</f>
        <v>41563</v>
      </c>
      <c r="AAI443" s="77"/>
      <c r="AAJ443" s="57" t="s">
        <v>0</v>
      </c>
      <c r="AAK443" s="57"/>
      <c r="AAL443" s="57"/>
      <c r="AAM443" s="112"/>
      <c r="AAN443"/>
      <c r="AAT443" s="23"/>
      <c r="AAU443" s="44"/>
    </row>
    <row r="444" spans="1:732" ht="15.75" customHeight="1" outlineLevel="2">
      <c r="A444" s="558"/>
      <c r="B444" s="467" t="str">
        <f>"EQC.RULES."&amp;TEXT(S.EQCMeeting,"m.d.yyyy")</f>
        <v>EQC.RULES.10.16.2013</v>
      </c>
      <c r="C444" s="722"/>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185</v>
      </c>
      <c r="AAG444" s="76"/>
      <c r="AAH444" s="76"/>
      <c r="AAI444" s="77"/>
      <c r="AAJ444" s="77"/>
      <c r="AAK444" s="77"/>
      <c r="AAL444" s="89" t="str">
        <f>S.CodeName&amp;"EQC.RULES."&amp;TEXT(S.EQCMeeting,"m.d.yyyy")</f>
        <v>EQC.RULES.10.16.2013</v>
      </c>
      <c r="AAM444" s="112"/>
      <c r="AAN444"/>
      <c r="AAT444" s="23"/>
      <c r="AAU444" s="44"/>
    </row>
    <row r="445" spans="1:732" ht="15.75" customHeight="1" outlineLevel="2">
      <c r="A445" s="558"/>
      <c r="B445" s="467" t="str">
        <f>AAL445</f>
        <v>EQC.REDLINE.10.16.2013</v>
      </c>
      <c r="C445" s="722"/>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185</v>
      </c>
      <c r="AAG445" s="76"/>
      <c r="AAH445" s="76"/>
      <c r="AAI445" s="77"/>
      <c r="AAJ445" s="77"/>
      <c r="AAK445" s="77"/>
      <c r="AAL445" s="89" t="str">
        <f>S.CodeName&amp;"EQC.REDLINE."&amp;TEXT(S.EQCMeeting,"m.d.yyyy")</f>
        <v>EQC.REDLINE.10.16.2013</v>
      </c>
      <c r="AAM445" s="112"/>
      <c r="AAN445"/>
      <c r="AAT445" s="23"/>
      <c r="AAU445" s="44"/>
    </row>
    <row r="446" spans="1:732" ht="15.75" customHeight="1" outlineLevel="2">
      <c r="A446" s="558"/>
      <c r="B446" s="467" t="s">
        <v>346</v>
      </c>
      <c r="C446" s="722"/>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185</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347</v>
      </c>
      <c r="C447" s="722"/>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185</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hidden="1" customHeight="1" outlineLevel="2">
      <c r="A448" s="558"/>
      <c r="B448" s="534" t="str">
        <f>AAL448</f>
        <v>Fees not involved</v>
      </c>
      <c r="C448" s="193"/>
      <c r="D448" s="277" t="s">
        <v>161</v>
      </c>
      <c r="E448" s="368">
        <f t="shared" ref="E448" si="997">NETWORKDAYS(G448,H448,S.DDL_DEQClosed)</f>
        <v>48</v>
      </c>
      <c r="F448" s="372">
        <f ca="1">NETWORKDAYS(TODAY(),H448)</f>
        <v>-16</v>
      </c>
      <c r="G448" s="369">
        <f>AAG448</f>
        <v>41369</v>
      </c>
      <c r="H448" s="369">
        <f>AAH448</f>
        <v>41440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0</v>
      </c>
      <c r="AAF448" s="112" t="s">
        <v>0</v>
      </c>
      <c r="AAG448" s="78">
        <f>S.BANNER.FeeStart</f>
        <v>41369</v>
      </c>
      <c r="AAH448" s="78">
        <f>S.SubmitNoticeToSOS-30</f>
        <v>41440</v>
      </c>
      <c r="AAI448" s="77"/>
      <c r="AAJ448" s="77"/>
      <c r="AAK448" s="77"/>
      <c r="AAL448" s="89" t="str">
        <f>IF(S.DASApprovalRequired=TRUE,"DAS fee approval - Part 2",IF(S.InvolveFee=TRUE,"See DAS notification below","Fees not involved"))</f>
        <v>Fees not involved</v>
      </c>
      <c r="AAM448" s="112"/>
      <c r="AAU448" s="44"/>
    </row>
    <row r="449" spans="1:732" s="23" customFormat="1" ht="15" hidden="1" outlineLevel="2">
      <c r="A449" s="558"/>
      <c r="B449" s="525" t="str">
        <f>AAL449</f>
        <v>a. SIGNED.PART.1</v>
      </c>
      <c r="C449" s="713"/>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0</v>
      </c>
      <c r="AAF449" s="583" t="s">
        <v>185</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hidden="1" outlineLevel="2">
      <c r="A450" s="558"/>
      <c r="B450" s="525" t="str">
        <f>AAL450</f>
        <v>b. FEE.EXCERPT.FROM.RULE</v>
      </c>
      <c r="C450" s="713"/>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0</v>
      </c>
      <c r="AAF450" s="583" t="s">
        <v>185</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hidden="1" customHeight="1" outlineLevel="2">
      <c r="A451" s="558"/>
      <c r="B451" s="467" t="s">
        <v>348</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0</v>
      </c>
      <c r="AAF451" s="583" t="s">
        <v>185</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349</v>
      </c>
      <c r="C452" s="168"/>
      <c r="D452" s="315" t="s">
        <v>374</v>
      </c>
      <c r="E452" s="368">
        <f t="shared" si="995"/>
        <v>1</v>
      </c>
      <c r="F452" s="372">
        <f t="shared" ca="1" si="996"/>
        <v>116</v>
      </c>
      <c r="G452" s="472">
        <f t="shared" ref="G452:H458" si="998">AAG452</f>
        <v>41624</v>
      </c>
      <c r="H452" s="369">
        <f t="shared" si="998"/>
        <v>41624</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999">S.BANNER.PostEQCStart</f>
        <v>41624</v>
      </c>
      <c r="AAH452" s="78">
        <f t="shared" ref="AAH452:AAH458" si="1000">S.BANNER.PostEQCEnd</f>
        <v>41624</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350</v>
      </c>
      <c r="C453" s="168"/>
      <c r="D453" s="277" t="s">
        <v>21</v>
      </c>
      <c r="E453" s="368">
        <f t="shared" si="995"/>
        <v>1</v>
      </c>
      <c r="F453" s="372">
        <f t="shared" ca="1" si="996"/>
        <v>116</v>
      </c>
      <c r="G453" s="472">
        <f t="shared" si="998"/>
        <v>41624</v>
      </c>
      <c r="H453" s="369">
        <f t="shared" si="998"/>
        <v>41624</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999"/>
        <v>41624</v>
      </c>
      <c r="AAH453" s="78">
        <f t="shared" si="1000"/>
        <v>41624</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79" t="s">
        <v>351</v>
      </c>
      <c r="C454" s="168"/>
      <c r="D454" s="277" t="s">
        <v>21</v>
      </c>
      <c r="E454" s="368">
        <f t="shared" ref="E454" si="1001">NETWORKDAYS(G454,H454,S.DDL_DEQClosed)</f>
        <v>1</v>
      </c>
      <c r="F454" s="372">
        <f t="shared" ref="F454" ca="1" si="1002">NETWORKDAYS(TODAY(),H454)</f>
        <v>116</v>
      </c>
      <c r="G454" s="472">
        <f t="shared" ref="G454" si="1003">AAG454</f>
        <v>41624</v>
      </c>
      <c r="H454" s="369">
        <f t="shared" ref="H454" si="1004">AAH454</f>
        <v>41624</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999"/>
        <v>41624</v>
      </c>
      <c r="AAH454" s="78">
        <f t="shared" si="1000"/>
        <v>41624</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hidden="1" customHeight="1" outlineLevel="2">
      <c r="A455" s="558"/>
      <c r="B455" s="416" t="s">
        <v>340</v>
      </c>
      <c r="C455" s="231" t="s">
        <v>72</v>
      </c>
      <c r="D455" s="277" t="s">
        <v>374</v>
      </c>
      <c r="E455" s="368">
        <f t="shared" si="995"/>
        <v>1</v>
      </c>
      <c r="F455" s="372">
        <f t="shared" ca="1" si="996"/>
        <v>116</v>
      </c>
      <c r="G455" s="472">
        <f t="shared" si="998"/>
        <v>41624</v>
      </c>
      <c r="H455" s="369">
        <f t="shared" si="998"/>
        <v>41624</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0</v>
      </c>
      <c r="AAF455" s="112"/>
      <c r="AAG455" s="78">
        <f t="shared" si="999"/>
        <v>41624</v>
      </c>
      <c r="AAH455" s="78">
        <f t="shared" si="1000"/>
        <v>41624</v>
      </c>
      <c r="AAI455" s="77"/>
      <c r="AAJ455" s="77"/>
      <c r="AAK455" s="77"/>
      <c r="AAL455" s="89" t="str">
        <f>S.CodeName&amp; "COMMITTEE.THANK.YOU"</f>
        <v>COMMITTEE.THANK.YOU</v>
      </c>
      <c r="AAM455" s="112"/>
      <c r="AAN455"/>
      <c r="AAT455" s="23"/>
      <c r="AAU455" s="44"/>
    </row>
    <row r="456" spans="1:732" ht="15.75" hidden="1" customHeight="1" outlineLevel="2">
      <c r="A456" s="558"/>
      <c r="B456" s="416" t="s">
        <v>341</v>
      </c>
      <c r="C456" s="168"/>
      <c r="D456" s="277" t="s">
        <v>374</v>
      </c>
      <c r="E456" s="368">
        <f t="shared" si="995"/>
        <v>1</v>
      </c>
      <c r="F456" s="372">
        <f t="shared" ca="1" si="996"/>
        <v>116</v>
      </c>
      <c r="G456" s="472">
        <f t="shared" si="998"/>
        <v>41624</v>
      </c>
      <c r="H456" s="369">
        <f t="shared" si="998"/>
        <v>41624</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0</v>
      </c>
      <c r="AAF456" s="112"/>
      <c r="AAG456" s="78">
        <f t="shared" si="999"/>
        <v>41624</v>
      </c>
      <c r="AAH456" s="78">
        <f t="shared" si="1000"/>
        <v>41624</v>
      </c>
      <c r="AAI456" s="77"/>
      <c r="AAJ456" s="77"/>
      <c r="AAK456" s="77"/>
      <c r="AAL456" s="89" t="str">
        <f>S.CodeName&amp; "COMMITTEE.SURVEY"</f>
        <v>COMMITTEE.SURVEY</v>
      </c>
      <c r="AAM456" s="112"/>
      <c r="AAN456"/>
      <c r="AAT456" s="23"/>
      <c r="AAU456" s="44"/>
    </row>
    <row r="457" spans="1:732" ht="15.75" customHeight="1" outlineLevel="2">
      <c r="A457" s="558"/>
      <c r="B457" s="416" t="s">
        <v>342</v>
      </c>
      <c r="C457" s="168"/>
      <c r="D457" s="277" t="s">
        <v>374</v>
      </c>
      <c r="E457" s="368">
        <f t="shared" si="995"/>
        <v>1</v>
      </c>
      <c r="F457" s="372">
        <f t="shared" ca="1" si="996"/>
        <v>116</v>
      </c>
      <c r="G457" s="472">
        <f t="shared" si="998"/>
        <v>41624</v>
      </c>
      <c r="H457" s="369">
        <f t="shared" si="998"/>
        <v>41624</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999"/>
        <v>41624</v>
      </c>
      <c r="AAH457" s="78">
        <f t="shared" si="1000"/>
        <v>41624</v>
      </c>
      <c r="AAI457" s="77"/>
      <c r="AAJ457" s="77"/>
      <c r="AAK457" s="77"/>
      <c r="AAL457" s="89" t="str">
        <f>S.CodeName&amp; "YourName.EMAILS"</f>
        <v>YourName.EMAILS</v>
      </c>
      <c r="AAM457" s="112"/>
      <c r="AAN457"/>
      <c r="AAT457" s="23"/>
      <c r="AAU457" s="44"/>
    </row>
    <row r="458" spans="1:732" ht="15.75" customHeight="1" outlineLevel="2">
      <c r="A458" s="558"/>
      <c r="B458" s="416" t="s">
        <v>343</v>
      </c>
      <c r="C458" s="168"/>
      <c r="D458" s="277" t="s">
        <v>374</v>
      </c>
      <c r="E458" s="368">
        <f t="shared" si="995"/>
        <v>1</v>
      </c>
      <c r="F458" s="372">
        <f t="shared" ca="1" si="996"/>
        <v>116</v>
      </c>
      <c r="G458" s="472">
        <f t="shared" si="998"/>
        <v>41624</v>
      </c>
      <c r="H458" s="369">
        <f t="shared" si="998"/>
        <v>41624</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999"/>
        <v>41624</v>
      </c>
      <c r="AAH458" s="78">
        <f t="shared" si="1000"/>
        <v>41624</v>
      </c>
      <c r="AAI458" s="77"/>
      <c r="AAJ458" s="77"/>
      <c r="AAK458" s="77"/>
      <c r="AAL458" s="89" t="str">
        <f>S.CodeName&amp; "EVALUATION"</f>
        <v>EVALUATION</v>
      </c>
      <c r="AAM458" s="112"/>
      <c r="AAN458"/>
      <c r="AAT458" s="23"/>
      <c r="AAU458" s="44"/>
    </row>
    <row r="459" spans="1:732" ht="15.75" customHeight="1" outlineLevel="2">
      <c r="A459" s="558"/>
      <c r="B459" s="462" t="s">
        <v>131</v>
      </c>
      <c r="C459" s="689"/>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185</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182</v>
      </c>
      <c r="C460" s="168"/>
      <c r="D460" s="277" t="s">
        <v>202</v>
      </c>
      <c r="E460" s="368">
        <f t="shared" ref="E460" si="1005">NETWORKDAYS(G460,H460,S.DDL_DEQClosed)</f>
        <v>1</v>
      </c>
      <c r="F460" s="372">
        <f t="shared" ref="F460" ca="1" si="1006">NETWORKDAYS(TODAY(),H460)</f>
        <v>75</v>
      </c>
      <c r="G460" s="449">
        <f>AAG460</f>
        <v>41565</v>
      </c>
      <c r="H460" s="370">
        <f>AAH460</f>
        <v>41565</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41565</v>
      </c>
      <c r="AAH460" s="78">
        <f>S.FileRuleWithSOS</f>
        <v>41565</v>
      </c>
      <c r="AAI460" s="77"/>
      <c r="AAJ460" s="79"/>
      <c r="AAK460" s="79"/>
      <c r="AAL460" s="57"/>
      <c r="AAM460" s="112"/>
      <c r="AAN460"/>
      <c r="AAT460" s="23"/>
      <c r="AAU460" s="44"/>
    </row>
    <row r="461" spans="1:732" s="23" customFormat="1" ht="20.25" customHeight="1" outlineLevel="2">
      <c r="A461" s="558"/>
      <c r="B461" s="316" t="s">
        <v>184</v>
      </c>
      <c r="C461" s="316"/>
      <c r="D461" s="122"/>
      <c r="E461" s="368">
        <f t="shared" ref="E461" si="1007">NETWORKDAYS(G461,H461,S.DDL_DEQClosed)</f>
        <v>1</v>
      </c>
      <c r="F461" s="372">
        <f t="shared" ref="F461" ca="1" si="1008">NETWORKDAYS(TODAY(),H461)</f>
        <v>75</v>
      </c>
      <c r="G461" s="455">
        <f>AAG461</f>
        <v>41565</v>
      </c>
      <c r="H461" s="473">
        <f>AAH461</f>
        <v>41565</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41565</v>
      </c>
      <c r="AAH461" s="78">
        <f>S.FileRuleWithSOS</f>
        <v>41565</v>
      </c>
      <c r="AAI461" s="77"/>
      <c r="AAJ461" s="77"/>
      <c r="AAK461" s="77"/>
      <c r="AAL461" s="57"/>
      <c r="AAM461" s="112"/>
      <c r="AAU461" s="44"/>
      <c r="AAV461"/>
      <c r="AAW461"/>
      <c r="AAX461"/>
      <c r="AAY461"/>
      <c r="AAZ461"/>
      <c r="ABA461"/>
      <c r="ABB461"/>
      <c r="ABC461"/>
      <c r="ABD461"/>
    </row>
    <row r="462" spans="1:732" ht="15.75" customHeight="1" outlineLevel="2">
      <c r="A462" s="558"/>
      <c r="B462" s="467" t="s">
        <v>345</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185</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344</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185</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hidden="1" customHeight="1" outlineLevel="2">
      <c r="A464" s="558"/>
      <c r="B464" s="534" t="str">
        <f>AAL464</f>
        <v>No DAS involvement</v>
      </c>
      <c r="C464" s="193"/>
      <c r="D464" s="277" t="s">
        <v>202</v>
      </c>
      <c r="E464" s="379">
        <f t="shared" ref="E464" si="1009">NETWORKDAYS(G464,H464,S.DDL_DEQClosed)</f>
        <v>108</v>
      </c>
      <c r="F464" s="380">
        <f ca="1">NETWORKDAYS(TODAY(),H464)</f>
        <v>47</v>
      </c>
      <c r="G464" s="382">
        <f>AAG464</f>
        <v>41369</v>
      </c>
      <c r="H464" s="382">
        <f>AAH464</f>
        <v>41527</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41369</v>
      </c>
      <c r="AAH464" s="78">
        <f>S.SubmitStaffRpt</f>
        <v>41527</v>
      </c>
      <c r="AAI464" s="77"/>
      <c r="AAJ464" s="57"/>
      <c r="AAK464" s="57"/>
      <c r="AAL464" s="89" t="str">
        <f>IF(S.DASApprovalRequired=TRUE,"See DAS fee approval - Part 2 above",IF(S.InvolveFee=TRUE,"DAS notification for fees that don't require approval","No DAS involvement"))</f>
        <v>No DAS involvement</v>
      </c>
      <c r="AAM464" s="112"/>
      <c r="AAU464" s="44"/>
    </row>
    <row r="465" spans="1:732" s="23" customFormat="1" ht="15" hidden="1"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185</v>
      </c>
      <c r="AAG465" s="76"/>
      <c r="AAH465" s="76"/>
      <c r="AAI465" s="77"/>
      <c r="AAJ465" s="77"/>
      <c r="AAK465" s="77"/>
      <c r="AAL465" s="89" t="str">
        <f>"a. "&amp;S.CodeName&amp;"FEE.EXCERPT.FROM.RULE"</f>
        <v>a. FEE.EXCERPT.FROM.RULE</v>
      </c>
      <c r="AAM465" s="112"/>
      <c r="AAU465" s="44"/>
    </row>
    <row r="466" spans="1:732" s="23" customFormat="1" ht="15" hidden="1"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185</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hidden="1"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185</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174</v>
      </c>
      <c r="C468" s="689"/>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185</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0">NETWORKDAYS(G469,H469,S.DDL_DEQClosed)</f>
        <v>1</v>
      </c>
      <c r="F469" s="372">
        <f t="shared" ref="F469" ca="1" si="1011">NETWORKDAYS(TODAY(),H469)</f>
        <v>116</v>
      </c>
      <c r="G469" s="449">
        <f t="shared" ref="G469:H469" si="1012">AAG469</f>
        <v>41624</v>
      </c>
      <c r="H469" s="449">
        <f t="shared" si="1012"/>
        <v>41624</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41624</v>
      </c>
      <c r="AAH469" s="78">
        <f>S.BANNER.PostEQCEnd</f>
        <v>41624</v>
      </c>
      <c r="AAI469" s="77"/>
      <c r="AAJ469" s="60"/>
      <c r="AAK469" s="60"/>
      <c r="AAL469" s="42"/>
      <c r="AAM469" s="112"/>
      <c r="AAN469"/>
      <c r="AAT469" s="23"/>
      <c r="AAU469" s="44"/>
    </row>
    <row r="470" spans="1:732" ht="15">
      <c r="A470" s="558"/>
      <c r="B470" s="144"/>
      <c r="C470" s="689"/>
      <c r="D470" s="145"/>
      <c r="E470" s="146"/>
      <c r="F470" s="146"/>
      <c r="G470" s="145"/>
      <c r="H470" s="333" t="str">
        <f ca="1">CELL("address")</f>
        <v>$B$316</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185</v>
      </c>
      <c r="AAG470" s="63"/>
      <c r="AAH470" s="63"/>
      <c r="AAI470" s="63"/>
      <c r="AAJ470" s="60"/>
      <c r="AAK470" s="60"/>
      <c r="AAL470" s="42"/>
      <c r="AAM470" s="112"/>
      <c r="AAN470"/>
      <c r="AAT470" s="23"/>
      <c r="AAU470" s="44"/>
    </row>
    <row r="471" spans="1:732" ht="9" customHeight="1">
      <c r="A471" s="558"/>
      <c r="B471" s="615"/>
      <c r="C471" s="728"/>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258</v>
      </c>
      <c r="AAF471" s="613"/>
      <c r="AAG471" s="612"/>
      <c r="AAH471" s="612"/>
      <c r="AAI471" s="612"/>
      <c r="AAJ471" s="612"/>
      <c r="AAK471" s="612"/>
      <c r="AAL471" s="612"/>
      <c r="AAM471" s="612"/>
      <c r="AAN471"/>
      <c r="AAT471" s="23"/>
      <c r="AAU471" s="44"/>
    </row>
  </sheetData>
  <sheetProtection formatRows="0" insertHyperlinks="0"/>
  <mergeCells count="138">
    <mergeCell ref="ZA3:ZB3"/>
    <mergeCell ref="XT3:XU3"/>
    <mergeCell ref="XW3:XX3"/>
    <mergeCell ref="XZ3:YA3"/>
    <mergeCell ref="YU3:YV3"/>
    <mergeCell ref="YX3:YY3"/>
    <mergeCell ref="VT3:VU3"/>
    <mergeCell ref="VW3:VX3"/>
    <mergeCell ref="WR3:WS3"/>
    <mergeCell ref="WU3:WV3"/>
    <mergeCell ref="WX3:WY3"/>
    <mergeCell ref="TS3:TT3"/>
    <mergeCell ref="UP3:UQ3"/>
    <mergeCell ref="US3:UT3"/>
    <mergeCell ref="UV3:UW3"/>
    <mergeCell ref="VQ3:VR3"/>
    <mergeCell ref="SK3:SL3"/>
    <mergeCell ref="SN3:SO3"/>
    <mergeCell ref="SQ3:SR3"/>
    <mergeCell ref="TM3:TN3"/>
    <mergeCell ref="TP3:TQ3"/>
    <mergeCell ref="QK3:QL3"/>
    <mergeCell ref="QN3:QO3"/>
    <mergeCell ref="RI3:RJ3"/>
    <mergeCell ref="RL3:RM3"/>
    <mergeCell ref="RO3:RP3"/>
    <mergeCell ref="OK3:OL3"/>
    <mergeCell ref="PG3:PH3"/>
    <mergeCell ref="PJ3:PK3"/>
    <mergeCell ref="PM3:PN3"/>
    <mergeCell ref="QH3:QI3"/>
    <mergeCell ref="ND3:NE3"/>
    <mergeCell ref="NG3:NH3"/>
    <mergeCell ref="NJ3:NK3"/>
    <mergeCell ref="OE3:OF3"/>
    <mergeCell ref="OH3:OI3"/>
    <mergeCell ref="LD3:LE3"/>
    <mergeCell ref="LG3:LH3"/>
    <mergeCell ref="MB3:MC3"/>
    <mergeCell ref="ME3:MF3"/>
    <mergeCell ref="MH3:MI3"/>
    <mergeCell ref="JC3:JD3"/>
    <mergeCell ref="JY3:JZ3"/>
    <mergeCell ref="KB3:KC3"/>
    <mergeCell ref="KE3:KF3"/>
    <mergeCell ref="LA3:LB3"/>
    <mergeCell ref="HU3:HV3"/>
    <mergeCell ref="HX3:HY3"/>
    <mergeCell ref="IA3:IB3"/>
    <mergeCell ref="IW3:IX3"/>
    <mergeCell ref="IZ3:JA3"/>
    <mergeCell ref="FY3:FZ3"/>
    <mergeCell ref="GT3:GU3"/>
    <mergeCell ref="GW3:GX3"/>
    <mergeCell ref="GZ3:HA3"/>
    <mergeCell ref="DW3:DX3"/>
    <mergeCell ref="ER3:ES3"/>
    <mergeCell ref="EU3:EV3"/>
    <mergeCell ref="EX3:EY3"/>
    <mergeCell ref="FS3:FT3"/>
    <mergeCell ref="CV3:CW3"/>
    <mergeCell ref="DQ3:DR3"/>
    <mergeCell ref="DT3:DU3"/>
    <mergeCell ref="AP3:AQ3"/>
    <mergeCell ref="AS3:AT3"/>
    <mergeCell ref="BO3:BP3"/>
    <mergeCell ref="BR3:BS3"/>
    <mergeCell ref="BU3:BV3"/>
    <mergeCell ref="FV3:FW3"/>
    <mergeCell ref="B438:H438"/>
    <mergeCell ref="D260:F260"/>
    <mergeCell ref="D261:F261"/>
    <mergeCell ref="B425:H425"/>
    <mergeCell ref="B362:C362"/>
    <mergeCell ref="B358:H358"/>
    <mergeCell ref="B387:H387"/>
    <mergeCell ref="B340:H340"/>
    <mergeCell ref="B391:H391"/>
    <mergeCell ref="B272:H272"/>
    <mergeCell ref="B298:H298"/>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D259:F259"/>
    <mergeCell ref="D256:F256"/>
    <mergeCell ref="D257:F257"/>
    <mergeCell ref="D258:F258"/>
    <mergeCell ref="B245:H245"/>
    <mergeCell ref="B247:C247"/>
    <mergeCell ref="D254:F254"/>
    <mergeCell ref="B236:C236"/>
    <mergeCell ref="B230:H230"/>
    <mergeCell ref="B232:C232"/>
    <mergeCell ref="B235:C235"/>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s>
  <conditionalFormatting sqref="B31">
    <cfRule type="expression" dxfId="30" priority="77" stopIfTrue="1">
      <formula>IF(AND(S.InvolveNotice=FALSE,S.InvolveHearing=TRUE),TRUE)</formula>
    </cfRule>
  </conditionalFormatting>
  <conditionalFormatting sqref="B17:B18">
    <cfRule type="expression" dxfId="29" priority="62" stopIfTrue="1">
      <formula>IF(AND(S.InvolveHearing=FALSE,S.InvolveSIP=TRUE),TRUE)</formula>
    </cfRule>
  </conditionalFormatting>
  <conditionalFormatting sqref="B15 G15:H15">
    <cfRule type="expression" dxfId="28" priority="57" stopIfTrue="1">
      <formula>IF(AND(S.InvolveHearing=FALSE,S.InvolveEQCFacHearing=TRUE),TRUE)</formula>
    </cfRule>
  </conditionalFormatting>
  <conditionalFormatting sqref="G17:G469">
    <cfRule type="expression" dxfId="27" priority="3847" stopIfTrue="1">
      <formula>IF(WORKDAY($G17-1,1,S.DDL_DEQClosed)&lt;&gt;$G17,TRUE)</formula>
    </cfRule>
  </conditionalFormatting>
  <conditionalFormatting sqref="H17:H469">
    <cfRule type="expression" dxfId="26" priority="4047" stopIfTrue="1">
      <formula>IF(WORKDAY($H17-1,1,S.DDL_DEQClosed)&lt;&gt;$H17,TRUE)</formula>
    </cfRule>
  </conditionalFormatting>
  <conditionalFormatting sqref="J8:ZZ469">
    <cfRule type="expression" dxfId="25" priority="4091" stopIfTrue="1">
      <formula>IF($AAF8="X",TRUE)</formula>
    </cfRule>
    <cfRule type="expression" dxfId="24" priority="4092" stopIfTrue="1">
      <formula>IF(OR(WEEKDAY(J$6)=1,WEEKDAY(J$6)=7),TRUE)</formula>
    </cfRule>
    <cfRule type="expression" dxfId="23" priority="4093" stopIfTrue="1">
      <formula>IF(ISERROR(VLOOKUP(J$6,S.DDL_DEQClosed,1,FALSE)),0,1)</formula>
    </cfRule>
    <cfRule type="expression" dxfId="22" priority="4132" stopIfTrue="1">
      <formula>AND($AAF8&lt;&gt;"X",$G8&lt;K$6,$H8&gt;=J$6)</formula>
    </cfRule>
  </conditionalFormatting>
  <conditionalFormatting sqref="B91">
    <cfRule type="expression" dxfId="21" priority="4138" stopIfTrue="1">
      <formula>IF($AAE90=0,TRUE)</formula>
    </cfRule>
  </conditionalFormatting>
  <conditionalFormatting sqref="B90">
    <cfRule type="expression" dxfId="20" priority="4139" stopIfTrue="1">
      <formula>IF($AAE85=0,TRUE)</formula>
    </cfRule>
  </conditionalFormatting>
  <conditionalFormatting sqref="B4:ZZ469">
    <cfRule type="expression" dxfId="19" priority="7" stopIfTrue="1">
      <formula>IF($AAE4="T",TRUE)</formula>
    </cfRule>
    <cfRule type="expression" dxfId="18" priority="12" stopIfTrue="1">
      <formula>IF($AAE4="B",TRUE)</formula>
    </cfRule>
    <cfRule type="expression" dxfId="17" priority="16" stopIfTrue="1">
      <formula>IF($AAE4="Y",TRUE)</formula>
    </cfRule>
    <cfRule type="expression" dxfId="16" priority="40" stopIfTrue="1">
      <formula>IF($AAE4=0,TRUE)</formula>
    </cfRule>
  </conditionalFormatting>
  <dataValidations xWindow="845" yWindow="678"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 G347 G355:H356 G360:H360 G389 G395 G415 G406 G423:H423 H238:H239 G225:H229 G239 H443 G455:H458 G460:H460 G469:H469 H440 G323:H323 G332:H332 H311 G393 H461 H428:H430 G429:G430 G433 G94:H97 G108:H108 G124:H126 G105:H106 G110:H114 G118:H119 G116:H116 G371:H372 H214 G452:H453 G242:G244 H267:H268 G100:H103 G85:H85 G354 G357"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270</v>
      </c>
    </row>
    <row r="2" spans="1:7" s="23" customFormat="1" ht="25.5" customHeight="1">
      <c r="A2" s="105"/>
      <c r="B2" s="784" t="s">
        <v>147</v>
      </c>
      <c r="C2" s="784"/>
      <c r="D2" s="105"/>
      <c r="E2" s="105"/>
      <c r="F2" s="105"/>
      <c r="G2" s="105"/>
    </row>
    <row r="3" spans="1:7" s="23" customFormat="1">
      <c r="A3" s="105"/>
      <c r="B3" s="557" t="s">
        <v>29</v>
      </c>
      <c r="C3" s="105" t="s">
        <v>151</v>
      </c>
      <c r="D3" s="559" t="s">
        <v>84</v>
      </c>
      <c r="E3" s="560" t="s">
        <v>319</v>
      </c>
      <c r="F3" s="560" t="s">
        <v>317</v>
      </c>
      <c r="G3" s="105"/>
    </row>
    <row r="4" spans="1:7" s="23" customFormat="1">
      <c r="A4" s="105"/>
      <c r="B4" s="557" t="s">
        <v>22</v>
      </c>
      <c r="C4" s="105" t="s">
        <v>303</v>
      </c>
      <c r="D4" s="561" t="s">
        <v>136</v>
      </c>
      <c r="E4" s="560" t="s">
        <v>318</v>
      </c>
      <c r="F4" s="667" t="s">
        <v>150</v>
      </c>
      <c r="G4" s="105"/>
    </row>
    <row r="5" spans="1:7" s="23" customFormat="1">
      <c r="A5" s="105"/>
      <c r="B5" s="557" t="s">
        <v>28</v>
      </c>
      <c r="C5" s="105"/>
      <c r="D5" s="556" t="s">
        <v>302</v>
      </c>
      <c r="E5" s="560" t="s">
        <v>320</v>
      </c>
      <c r="F5" s="667" t="s">
        <v>150</v>
      </c>
      <c r="G5" s="105"/>
    </row>
    <row r="6" spans="1:7" s="23" customFormat="1">
      <c r="A6" s="105"/>
      <c r="B6" s="557" t="s">
        <v>300</v>
      </c>
      <c r="C6" s="105" t="s">
        <v>301</v>
      </c>
      <c r="D6" s="556" t="s">
        <v>302</v>
      </c>
      <c r="E6" s="563" t="s">
        <v>321</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4" t="s">
        <v>148</v>
      </c>
      <c r="C9" s="784"/>
      <c r="D9" s="567" t="s">
        <v>152</v>
      </c>
      <c r="E9" s="568" t="s">
        <v>153</v>
      </c>
      <c r="F9" s="105"/>
      <c r="G9" s="105"/>
    </row>
    <row r="10" spans="1:7">
      <c r="A10" s="105"/>
      <c r="B10" s="557"/>
      <c r="C10" s="558"/>
      <c r="D10" s="569" t="s">
        <v>140</v>
      </c>
      <c r="E10" s="560" t="s">
        <v>306</v>
      </c>
      <c r="F10" s="105" t="s">
        <v>307</v>
      </c>
      <c r="G10" s="105"/>
    </row>
    <row r="11" spans="1:7">
      <c r="A11" s="105"/>
      <c r="B11" s="557"/>
      <c r="C11" s="558"/>
      <c r="D11" s="569" t="s">
        <v>140</v>
      </c>
      <c r="E11" s="560" t="s">
        <v>309</v>
      </c>
      <c r="F11" s="105" t="s">
        <v>308</v>
      </c>
      <c r="G11" s="105"/>
    </row>
    <row r="12" spans="1:7" s="23" customFormat="1">
      <c r="A12" s="105"/>
      <c r="B12" s="557"/>
      <c r="C12" s="105"/>
      <c r="D12" s="566" t="s">
        <v>122</v>
      </c>
      <c r="E12" s="560" t="s">
        <v>141</v>
      </c>
      <c r="F12" s="105" t="s">
        <v>304</v>
      </c>
      <c r="G12" s="105"/>
    </row>
    <row r="13" spans="1:7" s="23" customFormat="1">
      <c r="A13" s="105"/>
      <c r="B13" s="557"/>
      <c r="C13" s="105"/>
      <c r="D13" s="565" t="s">
        <v>150</v>
      </c>
      <c r="E13" s="560" t="s">
        <v>139</v>
      </c>
      <c r="F13" s="105" t="s">
        <v>305</v>
      </c>
      <c r="G13" s="105"/>
    </row>
    <row r="14" spans="1:7" ht="18">
      <c r="A14" s="105"/>
      <c r="B14" s="784" t="s">
        <v>225</v>
      </c>
      <c r="C14" s="784"/>
      <c r="D14" s="105"/>
      <c r="E14" s="105"/>
      <c r="F14" s="105"/>
      <c r="G14" s="105"/>
    </row>
    <row r="15" spans="1:7">
      <c r="A15" s="105"/>
      <c r="B15" s="557"/>
      <c r="C15" s="105" t="s">
        <v>271</v>
      </c>
      <c r="D15" s="564" t="s">
        <v>67</v>
      </c>
      <c r="E15" s="560" t="s">
        <v>224</v>
      </c>
      <c r="F15" s="105" t="s">
        <v>227</v>
      </c>
      <c r="G15" s="105"/>
    </row>
    <row r="16" spans="1:7">
      <c r="A16" s="105"/>
      <c r="B16" s="557"/>
      <c r="C16" s="105"/>
      <c r="D16" s="25" t="s">
        <v>66</v>
      </c>
      <c r="E16" s="563" t="s">
        <v>226</v>
      </c>
      <c r="F16" s="105" t="s">
        <v>227</v>
      </c>
      <c r="G16" s="105"/>
    </row>
    <row r="17" spans="1:7">
      <c r="A17" s="105"/>
      <c r="B17" s="557"/>
      <c r="C17" s="105"/>
      <c r="D17" s="24" t="s">
        <v>65</v>
      </c>
      <c r="E17" s="563" t="s">
        <v>228</v>
      </c>
      <c r="F17" s="105" t="s">
        <v>227</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272</v>
      </c>
      <c r="F21" s="105" t="s">
        <v>0</v>
      </c>
      <c r="G21" s="105"/>
    </row>
    <row r="22" spans="1:7">
      <c r="A22" s="105"/>
      <c r="B22" s="557"/>
      <c r="C22" s="105"/>
      <c r="D22" s="105"/>
      <c r="E22" s="105" t="s">
        <v>273</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87E947658537047BCCF6B6809171804" ma:contentTypeVersion="" ma:contentTypeDescription="Create a new document." ma:contentTypeScope="" ma:versionID="ecd6c50ba65e10cb953f66ccb200ab6e">
  <xsd:schema xmlns:xsd="http://www.w3.org/2001/XMLSchema" xmlns:xs="http://www.w3.org/2001/XMLSchema" xmlns:p="http://schemas.microsoft.com/office/2006/metadata/properties" xmlns:ns2="$ListId:docs;" targetNamespace="http://schemas.microsoft.com/office/2006/metadata/properties" ma:root="true" ma:fieldsID="f41b9d58a7893561fded87a957ba733f"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Rough Draft</Category>
  </documentManagement>
</p:properties>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1793CA92-47DC-4FEF-964E-929EFCC39865}"/>
</file>

<file path=customXml/itemProps3.xml><?xml version="1.0" encoding="utf-8"?>
<ds:datastoreItem xmlns:ds="http://schemas.openxmlformats.org/officeDocument/2006/customXml" ds:itemID="{77C33C1E-8DEB-4FB9-85EE-E1D6884B15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2013-03-08T20:27:01Z</cp:lastPrinted>
  <dcterms:created xsi:type="dcterms:W3CDTF">2012-04-11T21:44:01Z</dcterms:created>
  <dcterms:modified xsi:type="dcterms:W3CDTF">2013-07-08T22:28:34Z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0x010100E87E947658537047BCCF6B6809171804</vt:lpwstr>
  </property>
</Properties>
</file>