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72" i="119" l="1"/>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<sst xmlns="http://schemas.openxmlformats.org/spreadsheetml/2006/main" count="4467" uniqueCount="603">
  <si>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</si>
  <si>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</si>
  <si>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</si>
  <si>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</si>
  <si>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</si>
  <si>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</si>
  <si>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</si>
  <si>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</si>
  <si>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</si>
  <si>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</si>
  <si>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</si>
  <si>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</si>
  <si>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</si>
  <si>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</si>
  <si>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</si>
  <si>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</si>
  <si>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</si>
  <si>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</si>
  <si>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</si>
  <si>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</si>
  <si>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</si>
  <si>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</si>
  <si>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</si>
  <si>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</si>
  <si>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</si>
  <si>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</si>
  <si>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</si>
  <si>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</si>
  <si>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</si>
  <si>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</si>
  <si>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</si>
  <si>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</si>
  <si>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</si>
  <si>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</si>
  <si>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</si>
  <si>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</si>
  <si>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</si>
  <si>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</si>
  <si>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</si>
  <si>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</si>
  <si>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</si>
  <si>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</si>
  <si>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</si>
  <si>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</si>
  <si>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</si>
  <si>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</si>
  <si>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</si>
  <si>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</si>
  <si>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</si>
  <si>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</si>
  <si>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</si>
  <si>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</si>
  <si>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</si>
  <si>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</si>
  <si>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</si>
  <si>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</si>
  <si>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</si>
  <si>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</si>
  <si>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</si>
  <si>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</si>
  <si>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</si>
  <si>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</si>
  <si>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</si>
  <si>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</si>
  <si>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</si>
  <si>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</si>
  <si>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</si>
  <si>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</si>
  <si>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</si>
  <si>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</si>
  <si>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</si>
  <si>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</si>
  <si>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</si>
  <si>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</si>
  <si>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</si>
  <si>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</si>
  <si>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</si>
  <si>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</si>
  <si>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</si>
  <si>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</si>
  <si>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</si>
  <si>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</si>
  <si>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</si>
  <si>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</si>
  <si>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</si>
  <si>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</si>
  <si>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</si>
  <si>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</si>
  <si>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</si>
  <si>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</si>
  <si>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</si>
  <si>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</si>
  <si>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</si>
  <si>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</si>
  <si>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</si>
  <si>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</si>
  <si>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</si>
  <si>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</si>
  <si>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</si>
  <si>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</si>
  <si>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</si>
  <si>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</si>
  <si>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</si>
  <si>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</si>
  <si>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</si>
  <si>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</si>
  <si>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</si>
  <si>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</si>
  <si>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</si>
  <si>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</si>
  <si>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</si>
  <si>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</si>
  <si>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</si>
  <si>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</si>
  <si>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</si>
  <si>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</si>
  <si>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</si>
  <si>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</si>
  <si>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</si>
  <si>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</si>
  <si>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</si>
  <si>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</si>
  <si>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</si>
  <si>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</si>
  <si>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</si>
  <si>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</si>
  <si>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</si>
  <si>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</si>
  <si>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</si>
  <si>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</si>
  <si>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</si>
  <si>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</si>
  <si>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</si>
  <si>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</si>
  <si>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</si>
  <si>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</si>
  <si>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</si>
  <si>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</si>
  <si>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</si>
  <si>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</si>
  <si>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</si>
  <si>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</si>
  <si>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</si>
  <si>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</si>
  <si>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</si>
  <si>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</si>
  <si>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</si>
  <si>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</si>
  <si>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</si>
  <si>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</si>
  <si>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</si>
  <si>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</si>
  <si>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</si>
  <si>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</si>
  <si>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</si>
  <si>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</si>
  <si>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</si>
  <si>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</si>
  <si>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</si>
  <si>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</si>
  <si>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</si>
  <si>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</si>
  <si>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</si>
  <si>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</si>
  <si>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</si>
  <si>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</si>
  <si>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</si>
  <si>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</si>
  <si>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</si>
  <si>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</si>
  <si>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</si>
  <si>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</si>
  <si>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</si>
  <si>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</si>
  <si>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</si>
  <si>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</si>
  <si>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</si>
  <si>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</si>
  <si>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</si>
  <si>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</si>
  <si>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</si>
  <si>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</si>
  <si>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</si>
  <si>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</si>
  <si>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</si>
  <si>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</si>
  <si>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</si>
  <si>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</si>
  <si>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</si>
  <si>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</si>
  <si>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</si>
  <si>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</si>
  <si>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</si>
  <si>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</si>
  <si>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</si>
  <si>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</si>
  <si>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</si>
  <si>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</si>
  <si>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</si>
  <si>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</si>
  <si>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</si>
  <si>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</si>
  <si>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</si>
  <si>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</si>
  <si>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</si>
  <si>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</si>
  <si>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</si>
  <si>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</si>
  <si>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</si>
  <si>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</si>
  <si>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</si>
  <si>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</si>
  <si>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</si>
  <si>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</si>
  <si>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</si>
  <si>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</si>
  <si>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</si>
  <si>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</si>
  <si>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</si>
  <si>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</si>
  <si>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</si>
  <si>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</si>
  <si>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SE name</t>
  </si>
  <si>
    <t>LM name</t>
  </si>
  <si>
    <t>LA name</t>
  </si>
  <si>
    <t>PE name</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</si>
  <si>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</si>
  <si>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</si>
  <si>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</si>
  <si>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</si>
  <si>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</si>
  <si>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</si>
  <si>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</si>
  <si>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</si>
  <si>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</si>
  <si>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</si>
  <si>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</si>
  <si>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</si>
  <si>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</si>
  <si>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</si>
  <si>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</si>
  <si>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</si>
  <si>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</si>
  <si>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</si>
  <si>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</si>
  <si>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</si>
  <si>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</si>
  <si>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</si>
  <si>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</si>
  <si>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</si>
  <si>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</si>
  <si>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</si>
  <si>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</si>
  <si>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</si>
  <si>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</si>
  <si>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</si>
  <si>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</si>
  <si>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</si>
  <si>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</si>
  <si>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</si>
  <si>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</si>
  <si>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</si>
  <si>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</si>
  <si>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</si>
  <si>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</si>
  <si>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</si>
  <si>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</si>
  <si>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</si>
  <si>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</si>
  <si>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</si>
  <si>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</si>
  <si>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</si>
  <si>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</si>
  <si>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</si>
  <si>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</si>
  <si>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</si>
  <si>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</si>
  <si>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</si>
  <si>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</si>
  <si>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</si>
  <si>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</si>
  <si>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</si>
  <si>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</si>
  <si>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</si>
  <si>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</si>
  <si>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</si>
  <si>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</si>
  <si>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</si>
  <si>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</si>
  <si>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</si>
  <si>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</si>
  <si>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</si>
  <si>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</si>
  <si>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</si>
  <si>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</si>
  <si>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</si>
  <si>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</si>
  <si>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</si>
  <si>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</si>
  <si>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</si>
  <si>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</si>
  <si>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</si>
  <si>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</si>
  <si>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</si>
  <si>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</si>
  <si>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</si>
  <si>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</si>
  <si>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</si>
  <si>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</si>
  <si>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</si>
  <si>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</si>
  <si>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</si>
  <si>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</si>
  <si>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</si>
  <si>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</si>
  <si>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</si>
  <si>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</si>
  <si>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</si>
  <si>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</si>
  <si>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</si>
  <si>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</si>
  <si>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</si>
  <si>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</si>
  <si>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</si>
  <si>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</si>
  <si>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</si>
  <si>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</si>
  <si>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</si>
  <si>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</si>
  <si>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</si>
  <si>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</si>
  <si>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</si>
  <si>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</si>
  <si>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</si>
  <si>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</si>
  <si>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</si>
  <si>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</si>
  <si>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</si>
  <si>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</si>
  <si>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</si>
  <si>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</si>
  <si>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</si>
  <si>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</si>
  <si>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</si>
  <si>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</si>
  <si>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</si>
  <si>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</si>
  <si>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</si>
  <si>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</si>
  <si>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</si>
  <si>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</si>
  <si>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</si>
  <si>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</si>
  <si>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</si>
  <si>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</si>
  <si>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</si>
  <si>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</si>
  <si>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</si>
  <si>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</si>
  <si>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</si>
  <si>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</si>
  <si>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</si>
  <si>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</si>
  <si>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</si>
  <si>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</si>
  <si>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</si>
  <si>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</si>
  <si>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</si>
  <si>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</si>
  <si>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</si>
  <si>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</si>
  <si>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</si>
  <si>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</si>
  <si>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</si>
  <si>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</si>
  <si>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</si>
  <si>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</si>
  <si>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</si>
  <si>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</si>
  <si>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</si>
  <si>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</si>
  <si>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</si>
  <si>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</si>
  <si>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</si>
  <si>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</si>
  <si>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</si>
  <si>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</si>
  <si>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</si>
  <si>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</si>
  <si>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</si>
  <si>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</si>
  <si>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</si>
  <si>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</si>
  <si>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</si>
  <si>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</si>
  <si>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</si>
  <si>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</si>
  <si>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</si>
  <si>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</si>
  <si>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</si>
  <si>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</si>
  <si>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</si>
  <si>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</si>
  <si>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</si>
  <si>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</si>
  <si>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</si>
  <si>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</si>
  <si>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</si>
  <si>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</si>
  <si>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</si>
  <si>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</si>
  <si>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</si>
  <si>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</si>
  <si>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</si>
  <si>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</si>
  <si>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</si>
  <si>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</si>
  <si>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</si>
  <si>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</si>
  <si>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</si>
  <si>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</si>
  <si>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</si>
  <si>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</si>
  <si>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</si>
  <si>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</si>
  <si>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</si>
  <si>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</si>
  <si>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</si>
  <si>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</si>
  <si>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</si>
  <si>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</si>
  <si>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</si>
  <si>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</si>
  <si>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</si>
  <si>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</si>
  <si>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</si>
  <si>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</si>
  <si>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</si>
  <si>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</si>
  <si>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</si>
  <si>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</si>
  <si>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</si>
  <si>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</si>
  <si>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</si>
  <si>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</si>
  <si>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</si>
  <si>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</si>
  <si>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</si>
  <si>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</si>
  <si>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</si>
  <si>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</si>
  <si>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</si>
  <si>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</si>
  <si>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</si>
  <si>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</si>
  <si>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</si>
  <si>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</si>
  <si>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</si>
  <si>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</si>
  <si>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</si>
  <si>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</si>
  <si>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</si>
  <si>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</si>
  <si>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</si>
  <si>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</si>
  <si>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</si>
  <si>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</si>
  <si>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</si>
  <si>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</si>
  <si>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</si>
  <si>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</si>
  <si>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</si>
  <si>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</si>
  <si>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</si>
  <si>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</si>
  <si>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</si>
  <si>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</si>
  <si>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</si>
  <si>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</si>
  <si>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</si>
  <si>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</si>
  <si>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</si>
  <si>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</si>
  <si>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</si>
  <si>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</si>
  <si>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</si>
  <si>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</si>
  <si>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</si>
  <si>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</si>
  <si>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</si>
  <si>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</si>
  <si>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</si>
  <si>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</si>
  <si>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</si>
  <si>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</si>
  <si>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</si>
  <si>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</si>
  <si>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</si>
  <si>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</si>
  <si>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</si>
  <si>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</si>
  <si>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</si>
  <si>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</si>
  <si>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</si>
  <si>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</si>
  <si>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</si>
  <si>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</si>
  <si>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</si>
  <si>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</si>
  <si>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</si>
  <si>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</si>
  <si>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</si>
  <si>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</si>
  <si>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</si>
  <si>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</si>
  <si>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</si>
  <si>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</si>
  <si>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</si>
  <si>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</si>
  <si>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</si>
  <si>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</si>
  <si>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</si>
  <si>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</si>
  <si>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</si>
  <si>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</si>
  <si>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</si>
  <si>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</si>
  <si>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</si>
  <si>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</si>
  <si>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</si>
  <si>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</si>
  <si>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</si>
  <si>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</si>
  <si>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</si>
  <si>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</si>
  <si>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</si>
  <si>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</si>
  <si>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</si>
  <si>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</si>
  <si>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</si>
  <si>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</si>
  <si>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</si>
  <si>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</si>
  <si>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</si>
  <si>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</si>
  <si>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</si>
  <si>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</si>
  <si>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</si>
  <si>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</si>
  <si>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</si>
  <si>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</si>
  <si>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</si>
  <si>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</si>
  <si>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</si>
  <si>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</si>
  <si>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</si>
  <si>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</si>
  <si>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</si>
  <si>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</si>
  <si>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</si>
  <si>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</si>
  <si>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</si>
  <si>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</si>
  <si>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</si>
  <si>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</si>
  <si>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</si>
  <si>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</si>
  <si>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</si>
  <si>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</si>
  <si>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</si>
  <si>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</si>
  <si>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</si>
  <si>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</si>
  <si>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</si>
  <si>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</si>
  <si>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</si>
  <si>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</si>
  <si>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</si>
  <si>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</si>
  <si>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</si>
  <si>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</si>
  <si>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</si>
  <si>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</si>
  <si>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</si>
  <si>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</si>
  <si>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</si>
  <si>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</si>
  <si>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</si>
  <si>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</si>
  <si>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</si>
  <si>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</si>
  <si>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</si>
  <si>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</si>
  <si>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</si>
  <si>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</si>
  <si>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</si>
  <si>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</si>
  <si>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</si>
  <si>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</si>
  <si>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Andrea Curtis</t>
  </si>
  <si>
    <t>Diesel federal grant alignment</t>
  </si>
  <si>
    <t>DESLGRNT</t>
  </si>
  <si>
    <t>Diesel federal grant align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</si>
</sst>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327</v>
      </c>
      <c r="C13" s="11"/>
      <c r="D13" s="11"/>
      <c r="E13" s="11"/>
      <c r="F13" s="527"/>
    </row>
    <row r="14" spans="1:6">
      <c r="A14" s="16" t="s">
        <v>74</v>
      </c>
      <c r="B14" s="165" t="s">
        <v>75</v>
      </c>
      <c r="C14" s="165" t="s">
        <v>26</v>
      </c>
      <c r="D14" s="165" t="s">
        <v>27</v>
      </c>
      <c r="E14" s="11"/>
      <c r="F14" s="527"/>
    </row>
    <row r="15" spans="1:6">
      <c r="A15" s="21" t="s">
        <v>233</v>
      </c>
      <c r="B15" s="22">
        <v>0</v>
      </c>
      <c r="C15" s="22">
        <v>0</v>
      </c>
      <c r="D15" s="22">
        <v>0</v>
      </c>
      <c r="E15" s="11"/>
      <c r="F15" s="527"/>
    </row>
    <row r="16" spans="1:6">
      <c r="A16" s="21" t="s">
        <v>235</v>
      </c>
      <c r="B16" s="22">
        <v>1</v>
      </c>
      <c r="C16" s="22">
        <v>1</v>
      </c>
      <c r="D16" s="22">
        <v>8</v>
      </c>
      <c r="E16" s="11"/>
      <c r="F16" s="527"/>
    </row>
    <row r="17" spans="1:6">
      <c r="A17" s="21" t="s">
        <v>236</v>
      </c>
      <c r="B17" s="22">
        <v>2</v>
      </c>
      <c r="C17" s="22">
        <v>8</v>
      </c>
      <c r="D17" s="22">
        <v>40</v>
      </c>
      <c r="E17" s="11"/>
      <c r="F17" s="527"/>
    </row>
    <row r="18" spans="1:6">
      <c r="A18" s="21" t="s">
        <v>237</v>
      </c>
      <c r="B18" s="22">
        <v>3</v>
      </c>
      <c r="C18" s="22">
        <v>40</v>
      </c>
      <c r="D18" s="22">
        <v>80</v>
      </c>
      <c r="E18" s="11"/>
      <c r="F18" s="527"/>
    </row>
    <row r="19" spans="1:6">
      <c r="A19" s="21" t="s">
        <v>238</v>
      </c>
      <c r="B19" s="22">
        <v>4</v>
      </c>
      <c r="C19" s="22">
        <v>80</v>
      </c>
      <c r="D19" s="22">
        <v>170</v>
      </c>
      <c r="E19" s="11"/>
      <c r="F19" s="527"/>
    </row>
    <row r="20" spans="1:6">
      <c r="A20" s="21" t="s">
        <v>239</v>
      </c>
      <c r="B20" s="22">
        <v>5</v>
      </c>
      <c r="C20" s="22">
        <v>170</v>
      </c>
      <c r="D20" s="22">
        <v>340</v>
      </c>
      <c r="E20" s="11"/>
      <c r="F20" s="527"/>
    </row>
    <row r="21" spans="1:6">
      <c r="A21" s="21" t="s">
        <v>240</v>
      </c>
      <c r="B21" s="22">
        <v>6</v>
      </c>
      <c r="C21" s="22">
        <v>340</v>
      </c>
      <c r="D21" s="22">
        <v>680</v>
      </c>
      <c r="E21" s="11"/>
      <c r="F21" s="527">
        <v>25</v>
      </c>
    </row>
    <row r="22" spans="1:6">
      <c r="A22" s="21" t="s">
        <v>241</v>
      </c>
      <c r="B22" s="22">
        <v>7</v>
      </c>
      <c r="C22" s="22">
        <v>680</v>
      </c>
      <c r="D22" s="22">
        <v>1020</v>
      </c>
      <c r="E22" s="11"/>
      <c r="F22" s="528">
        <v>0.5</v>
      </c>
    </row>
    <row r="23" spans="1:6">
      <c r="A23" s="21" t="s">
        <v>242</v>
      </c>
      <c r="B23" s="22">
        <v>8</v>
      </c>
      <c r="C23" s="22">
        <v>1020</v>
      </c>
      <c r="D23" s="22">
        <v>1360</v>
      </c>
      <c r="E23" s="11"/>
      <c r="F23" s="527"/>
    </row>
    <row r="24" spans="1:6">
      <c r="A24" s="21" t="s">
        <v>234</v>
      </c>
      <c r="B24" s="22">
        <v>9</v>
      </c>
      <c r="C24" s="22">
        <v>1360</v>
      </c>
      <c r="D24" s="22">
        <v>2080</v>
      </c>
      <c r="E24" s="11"/>
      <c r="F24" s="527"/>
    </row>
    <row r="25" spans="1:6">
      <c r="A25" s="21" t="s">
        <v>243</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556</v>
      </c>
      <c r="B33" s="52"/>
      <c r="C33" s="52"/>
      <c r="D33" s="52"/>
      <c r="E33" s="52"/>
    </row>
    <row r="34" spans="1:5">
      <c r="A34" s="21" t="s">
        <v>557</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203</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204</v>
      </c>
      <c r="B45" s="51"/>
      <c r="C45" s="51"/>
      <c r="D45" s="51"/>
      <c r="E45" s="51"/>
    </row>
    <row r="46" spans="1:5">
      <c r="A46" s="523" t="s">
        <v>260</v>
      </c>
      <c r="B46" s="51"/>
      <c r="C46" s="51"/>
      <c r="D46" s="51"/>
      <c r="E46" s="51"/>
    </row>
    <row r="47" spans="1:5">
      <c r="A47" s="523" t="s">
        <v>206</v>
      </c>
      <c r="B47" s="51"/>
      <c r="C47" s="51"/>
      <c r="D47" s="51"/>
      <c r="E47" s="51"/>
    </row>
    <row r="48" spans="1:5">
      <c r="A48" s="523" t="s">
        <v>261</v>
      </c>
      <c r="B48" s="51"/>
      <c r="C48" s="51"/>
      <c r="D48" s="51"/>
      <c r="E48" s="51"/>
    </row>
    <row r="49" spans="1:5">
      <c r="A49" s="523" t="s">
        <v>262</v>
      </c>
      <c r="B49" s="51"/>
      <c r="C49" s="51"/>
      <c r="D49" s="51"/>
      <c r="E49" s="51"/>
    </row>
    <row r="50" spans="1:5">
      <c r="A50" s="523" t="s">
        <v>263</v>
      </c>
      <c r="B50" s="51"/>
      <c r="C50" s="51"/>
      <c r="D50" s="51"/>
      <c r="E50" s="51"/>
    </row>
    <row r="51" spans="1:5">
      <c r="A51" s="523" t="s">
        <v>264</v>
      </c>
      <c r="B51" s="51"/>
      <c r="C51" s="51"/>
      <c r="D51" s="51"/>
      <c r="E51" s="51"/>
    </row>
    <row r="52" spans="1:5">
      <c r="A52" s="523" t="s">
        <v>265</v>
      </c>
      <c r="B52" s="51"/>
      <c r="C52" s="51"/>
      <c r="D52" s="51"/>
      <c r="E52" s="51"/>
    </row>
    <row r="53" spans="1:5">
      <c r="A53" s="523" t="s">
        <v>266</v>
      </c>
      <c r="B53" s="51"/>
      <c r="C53" s="51"/>
      <c r="D53" s="51"/>
      <c r="E53" s="51"/>
    </row>
    <row r="54" spans="1:5">
      <c r="A54" s="523" t="s">
        <v>267</v>
      </c>
      <c r="B54" s="51"/>
      <c r="C54" s="51"/>
      <c r="D54" s="51"/>
      <c r="E54" s="51"/>
    </row>
    <row r="55" spans="1:5">
      <c r="A55" s="523" t="s">
        <v>268</v>
      </c>
      <c r="B55" s="51"/>
      <c r="C55" s="51"/>
      <c r="D55" s="51"/>
      <c r="E55" s="51"/>
    </row>
    <row r="56" spans="1:5">
      <c r="A56" s="523" t="s">
        <v>269</v>
      </c>
      <c r="B56" s="51"/>
      <c r="C56" s="51"/>
      <c r="D56" s="51"/>
      <c r="E56" s="51"/>
    </row>
    <row r="57" spans="1:5">
      <c r="A57" s="523" t="s">
        <v>270</v>
      </c>
      <c r="B57" s="51"/>
      <c r="C57" s="51"/>
      <c r="D57" s="51"/>
      <c r="E57" s="51"/>
    </row>
    <row r="58" spans="1:5">
      <c r="A58" s="523" t="s">
        <v>271</v>
      </c>
      <c r="B58" s="51"/>
      <c r="C58" s="51"/>
      <c r="D58" s="51"/>
      <c r="E58" s="51"/>
    </row>
    <row r="59" spans="1:5" customFormat="1">
      <c r="A59" s="523" t="s">
        <v>188</v>
      </c>
      <c r="B59" s="51"/>
      <c r="C59" s="51"/>
      <c r="D59" s="51"/>
      <c r="E59" s="51"/>
    </row>
    <row r="60" spans="1:5">
      <c r="A60" s="19" t="s">
        <v>13</v>
      </c>
      <c r="B60" s="20"/>
      <c r="C60" s="52"/>
      <c r="D60" s="52"/>
      <c r="E60" s="52"/>
    </row>
    <row r="61" spans="1:5">
      <c r="A61" s="15"/>
      <c r="B61" s="15"/>
      <c r="C61" s="52"/>
      <c r="D61" s="52"/>
      <c r="E61" s="52"/>
    </row>
    <row r="62" spans="1:5">
      <c r="A62" s="16" t="s">
        <v>230</v>
      </c>
      <c r="B62" s="52"/>
      <c r="C62" s="52" t="s">
        <v>0</v>
      </c>
      <c r="D62" s="52"/>
      <c r="E62" s="52"/>
    </row>
    <row r="63" spans="1:5">
      <c r="A63" s="21" t="s">
        <v>169</v>
      </c>
      <c r="B63" s="52"/>
      <c r="C63" s="52"/>
      <c r="D63" s="52"/>
      <c r="E63" s="52"/>
    </row>
    <row r="64" spans="1:5">
      <c r="A64" s="21" t="s">
        <v>170</v>
      </c>
      <c r="B64" s="52"/>
      <c r="C64" s="52"/>
      <c r="D64" s="52"/>
      <c r="E64" s="52"/>
    </row>
    <row r="65" spans="1:5">
      <c r="A65" s="21" t="s">
        <v>231</v>
      </c>
      <c r="B65" s="52"/>
      <c r="C65" s="52"/>
      <c r="D65" s="52"/>
      <c r="E65" s="52"/>
    </row>
    <row r="66" spans="1:5">
      <c r="A66" s="21" t="s">
        <v>232</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6" t="s">
        <v>323</v>
      </c>
      <c r="C1" s="736"/>
      <c r="D1" s="736"/>
      <c r="E1" s="736"/>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257</v>
      </c>
      <c r="B2" s="558" t="s">
        <v>273</v>
      </c>
      <c r="C2" s="558" t="s">
        <v>258</v>
      </c>
      <c r="D2" s="558" t="s">
        <v>259</v>
      </c>
      <c r="E2" s="558" t="s">
        <v>213</v>
      </c>
      <c r="F2" s="558" t="s">
        <v>212</v>
      </c>
      <c r="G2" s="557" t="s">
        <v>221</v>
      </c>
      <c r="H2" s="557" t="s">
        <v>326</v>
      </c>
      <c r="I2" s="559" t="s">
        <v>325</v>
      </c>
      <c r="J2" s="559" t="s">
        <v>324</v>
      </c>
      <c r="K2" s="557" t="s">
        <v>272</v>
      </c>
      <c r="L2" s="557" t="s">
        <v>171</v>
      </c>
      <c r="M2" s="559" t="s">
        <v>284</v>
      </c>
      <c r="N2" s="559" t="s">
        <v>285</v>
      </c>
      <c r="O2" s="536" t="s">
        <v>280</v>
      </c>
      <c r="P2" s="536" t="s">
        <v>281</v>
      </c>
      <c r="Q2" s="539" t="s">
        <v>282</v>
      </c>
      <c r="R2" s="539" t="s">
        <v>283</v>
      </c>
      <c r="S2" s="539" t="s">
        <v>286</v>
      </c>
      <c r="T2" s="539" t="s">
        <v>287</v>
      </c>
      <c r="U2" s="539" t="s">
        <v>288</v>
      </c>
      <c r="V2" s="539" t="s">
        <v>289</v>
      </c>
      <c r="W2" s="539" t="s">
        <v>290</v>
      </c>
      <c r="X2" s="539" t="s">
        <v>291</v>
      </c>
      <c r="Y2" s="539" t="s">
        <v>292</v>
      </c>
      <c r="Z2" s="539" t="s">
        <v>293</v>
      </c>
      <c r="AA2" s="539" t="s">
        <v>294</v>
      </c>
      <c r="AB2" s="539" t="s">
        <v>295</v>
      </c>
      <c r="AC2" s="540" t="s">
        <v>296</v>
      </c>
      <c r="AD2" s="540" t="s">
        <v>297</v>
      </c>
      <c r="AE2" s="540" t="s">
        <v>298</v>
      </c>
      <c r="AF2" s="540" t="s">
        <v>299</v>
      </c>
      <c r="AG2" s="540" t="s">
        <v>300</v>
      </c>
      <c r="AH2" s="540" t="s">
        <v>301</v>
      </c>
      <c r="AI2" s="540" t="s">
        <v>302</v>
      </c>
      <c r="AJ2" s="540" t="s">
        <v>303</v>
      </c>
      <c r="AK2" s="540" t="s">
        <v>304</v>
      </c>
      <c r="AL2" s="540" t="s">
        <v>305</v>
      </c>
      <c r="AM2" s="540" t="s">
        <v>306</v>
      </c>
      <c r="AN2" s="540" t="s">
        <v>307</v>
      </c>
      <c r="AO2" s="537" t="s">
        <v>308</v>
      </c>
      <c r="AP2" s="537" t="s">
        <v>309</v>
      </c>
      <c r="AQ2" s="537" t="s">
        <v>310</v>
      </c>
      <c r="AR2" s="537" t="s">
        <v>311</v>
      </c>
      <c r="AS2" s="537" t="s">
        <v>312</v>
      </c>
      <c r="AT2" s="537" t="s">
        <v>313</v>
      </c>
      <c r="AU2" s="537" t="s">
        <v>314</v>
      </c>
      <c r="AV2" s="537" t="s">
        <v>315</v>
      </c>
      <c r="AW2" s="537" t="s">
        <v>316</v>
      </c>
      <c r="AX2" s="537" t="s">
        <v>317</v>
      </c>
      <c r="AY2" s="537" t="s">
        <v>318</v>
      </c>
      <c r="AZ2" s="537" t="s">
        <v>319</v>
      </c>
      <c r="BA2" s="538" t="s">
        <v>320</v>
      </c>
      <c r="BB2" s="538" t="s">
        <v>321</v>
      </c>
      <c r="BC2" s="538" t="s">
        <v>322</v>
      </c>
    </row>
    <row r="3" spans="1:55">
      <c r="A3" s="531" t="str">
        <f t="shared" ref="A3:A34" si="0">R.1Division</f>
        <v>AQ</v>
      </c>
      <c r="B3" s="50" t="str">
        <f t="shared" ref="B3:B34" si="1">R.1CodeName</f>
        <v>DESLGRNT</v>
      </c>
      <c r="C3" s="50" t="s">
        <v>260</v>
      </c>
      <c r="D3" s="532" t="s">
        <v>205</v>
      </c>
      <c r="E3" s="50" t="s">
        <v>53</v>
      </c>
      <c r="F3" s="533" t="str">
        <f>R.3SEname</f>
        <v>SE name</v>
      </c>
      <c r="G3" s="543">
        <f>R.3SEhrs</f>
        <v>0</v>
      </c>
      <c r="H3" s="544">
        <f>Table3[[#This Row],[Hrs Rank]]</f>
        <v>0</v>
      </c>
      <c r="I3" s="534">
        <f t="shared" ref="I3:I66" si="2">IF(ISNA(VLOOKUP($H3,R.VL_DEQResourceHours,2,FALSE)),0,VLOOKUP($H3,R.VL_DEQResourceHours,2,FALSE))</f>
        <v>0</v>
      </c>
      <c r="J3" s="534">
        <f t="shared" ref="J3:J66" si="3">IF(ISNA(VLOOKUP($H3,R.VL_DEQResourceHours,3,FALSE)),0,VLOOKUP($H3,R.VL_DEQResourceHours,3,FALSE))</f>
        <v>0</v>
      </c>
      <c r="K3" s="546"/>
      <c r="L3" s="546"/>
      <c r="M3" s="547" t="s">
        <v>232</v>
      </c>
      <c r="N3" s="547" t="s">
        <v>232</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DESLGRNT</v>
      </c>
      <c r="C4" s="50" t="s">
        <v>260</v>
      </c>
      <c r="D4" s="532" t="s">
        <v>119</v>
      </c>
      <c r="E4" s="50" t="s">
        <v>53</v>
      </c>
      <c r="F4" s="533" t="str">
        <f>R.3LMname</f>
        <v>LM name</v>
      </c>
      <c r="G4" s="543">
        <f>R.3LMHrs</f>
        <v>0</v>
      </c>
      <c r="H4" s="544">
        <f>Table3[[#This Row],[Hrs Rank]]</f>
        <v>0</v>
      </c>
      <c r="I4" s="534">
        <f t="shared" si="2"/>
        <v>0</v>
      </c>
      <c r="J4" s="534">
        <f t="shared" si="3"/>
        <v>0</v>
      </c>
      <c r="K4" s="546"/>
      <c r="L4" s="546"/>
      <c r="M4" s="547" t="s">
        <v>232</v>
      </c>
      <c r="N4" s="547" t="s">
        <v>232</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DESLGRNT</v>
      </c>
      <c r="C5" s="50" t="s">
        <v>260</v>
      </c>
      <c r="D5" s="532" t="s">
        <v>120</v>
      </c>
      <c r="E5" s="50" t="s">
        <v>53</v>
      </c>
      <c r="F5" s="533" t="str">
        <f>R.3LAname</f>
        <v>LA name</v>
      </c>
      <c r="G5" s="543">
        <f>R.3LAHrs</f>
        <v>0</v>
      </c>
      <c r="H5" s="544">
        <f>Table3[[#This Row],[Hrs Rank]]</f>
        <v>0</v>
      </c>
      <c r="I5" s="534">
        <f t="shared" si="2"/>
        <v>0</v>
      </c>
      <c r="J5" s="534">
        <f t="shared" si="3"/>
        <v>0</v>
      </c>
      <c r="K5" s="546"/>
      <c r="L5" s="546"/>
      <c r="M5" s="547" t="s">
        <v>232</v>
      </c>
      <c r="N5" s="547" t="s">
        <v>232</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DESLGRNT</v>
      </c>
      <c r="C6" s="50" t="s">
        <v>260</v>
      </c>
      <c r="D6" s="532" t="s">
        <v>207</v>
      </c>
      <c r="E6" s="50" t="s">
        <v>53</v>
      </c>
      <c r="F6" s="533" t="str">
        <f>R.3PEname</f>
        <v>PE name</v>
      </c>
      <c r="G6" s="543">
        <f>R.3PEHrs</f>
        <v>0</v>
      </c>
      <c r="H6" s="544">
        <f>Table3[[#This Row],[Hrs Rank]]</f>
        <v>0</v>
      </c>
      <c r="I6" s="534">
        <f t="shared" si="2"/>
        <v>0</v>
      </c>
      <c r="J6" s="534">
        <f t="shared" si="3"/>
        <v>0</v>
      </c>
      <c r="K6" s="546"/>
      <c r="L6" s="546"/>
      <c r="M6" s="547" t="s">
        <v>232</v>
      </c>
      <c r="N6" s="547" t="s">
        <v>232</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DESLGRNT</v>
      </c>
      <c r="C7" s="50" t="s">
        <v>260</v>
      </c>
      <c r="D7" s="532" t="s">
        <v>121</v>
      </c>
      <c r="E7" s="50" t="s">
        <v>53</v>
      </c>
      <c r="F7" s="533" t="str">
        <f>R.3PAname</f>
        <v>PA name</v>
      </c>
      <c r="G7" s="543">
        <f>R.3PAHrs</f>
        <v>0</v>
      </c>
      <c r="H7" s="544">
        <f>Table3[[#This Row],[Hrs Rank]]</f>
        <v>0</v>
      </c>
      <c r="I7" s="534">
        <f t="shared" si="2"/>
        <v>0</v>
      </c>
      <c r="J7" s="534">
        <f t="shared" si="3"/>
        <v>0</v>
      </c>
      <c r="K7" s="546"/>
      <c r="L7" s="546"/>
      <c r="M7" s="547" t="s">
        <v>232</v>
      </c>
      <c r="N7" s="547" t="s">
        <v>232</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DESLGRNT</v>
      </c>
      <c r="C8" s="50" t="s">
        <v>260</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232</v>
      </c>
      <c r="N8" s="547" t="s">
        <v>232</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DESLGRNT</v>
      </c>
      <c r="C9" s="50" t="s">
        <v>260</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232</v>
      </c>
      <c r="N9" s="547" t="s">
        <v>232</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DESLGRNT</v>
      </c>
      <c r="C10" s="50" t="s">
        <v>206</v>
      </c>
      <c r="D10" s="532" t="s">
        <v>210</v>
      </c>
      <c r="E10" s="50" t="s">
        <v>53</v>
      </c>
      <c r="F10" s="533" t="str">
        <f>R.4AGName</f>
        <v>Larry Knudsen</v>
      </c>
      <c r="G10" s="543">
        <f>R.4AGHrs</f>
        <v>0</v>
      </c>
      <c r="H10" s="544">
        <f>Table3[[#This Row],[Hrs Rank]]</f>
        <v>0</v>
      </c>
      <c r="I10" s="534">
        <f t="shared" si="2"/>
        <v>0</v>
      </c>
      <c r="J10" s="534">
        <f t="shared" si="3"/>
        <v>0</v>
      </c>
      <c r="K10" s="546"/>
      <c r="L10" s="546"/>
      <c r="M10" s="547" t="s">
        <v>232</v>
      </c>
      <c r="N10" s="547" t="s">
        <v>232</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DESLGRNT</v>
      </c>
      <c r="C11" s="50" t="s">
        <v>206</v>
      </c>
      <c r="D11" s="532" t="s">
        <v>122</v>
      </c>
      <c r="E11" s="50" t="s">
        <v>53</v>
      </c>
      <c r="F11" s="533" t="str">
        <f>R.4ARCName</f>
        <v>Maggie Vandehey</v>
      </c>
      <c r="G11" s="543">
        <f>R.4ARCHrs</f>
        <v>0</v>
      </c>
      <c r="H11" s="544">
        <f>Table3[[#This Row],[Hrs Rank]]</f>
        <v>0</v>
      </c>
      <c r="I11" s="534">
        <f t="shared" si="2"/>
        <v>0</v>
      </c>
      <c r="J11" s="534">
        <f t="shared" si="3"/>
        <v>0</v>
      </c>
      <c r="K11" s="546"/>
      <c r="L11" s="546"/>
      <c r="M11" s="547" t="s">
        <v>232</v>
      </c>
      <c r="N11" s="547" t="s">
        <v>232</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DESLGRNT</v>
      </c>
      <c r="C12" s="50" t="s">
        <v>206</v>
      </c>
      <c r="D12" s="532" t="s">
        <v>173</v>
      </c>
      <c r="E12" s="50" t="s">
        <v>53</v>
      </c>
      <c r="F12" s="533" t="str">
        <f>R.4SIPCoName</f>
        <v>Andrea Curtis</v>
      </c>
      <c r="G12" s="543">
        <f>R.4ASIPCoHrs</f>
        <v>0</v>
      </c>
      <c r="H12" s="544">
        <f>Table3[[#This Row],[Hrs Rank]]</f>
        <v>0</v>
      </c>
      <c r="I12" s="534">
        <f t="shared" si="2"/>
        <v>0</v>
      </c>
      <c r="J12" s="534">
        <f t="shared" si="3"/>
        <v>0</v>
      </c>
      <c r="K12" s="546"/>
      <c r="L12" s="546"/>
      <c r="M12" s="547" t="s">
        <v>232</v>
      </c>
      <c r="N12" s="547" t="s">
        <v>232</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DESLGRNT</v>
      </c>
      <c r="C13" s="50" t="s">
        <v>206</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232</v>
      </c>
      <c r="N13" s="547" t="s">
        <v>232</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DESLGRNT</v>
      </c>
      <c r="C14" s="50" t="s">
        <v>206</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232</v>
      </c>
      <c r="N14" s="547" t="s">
        <v>232</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DESLGRNT</v>
      </c>
      <c r="C15" s="50" t="s">
        <v>261</v>
      </c>
      <c r="D15" s="532" t="s">
        <v>183</v>
      </c>
      <c r="E15" s="50" t="s">
        <v>53</v>
      </c>
      <c r="F15" s="533" t="str">
        <f>R.5EQCName1</f>
        <v>EQC - all members</v>
      </c>
      <c r="G15" s="543">
        <f>R.5EQCHrs1</f>
        <v>0</v>
      </c>
      <c r="H15" s="544">
        <f>Table3[[#This Row],[Hrs Rank]]</f>
        <v>0</v>
      </c>
      <c r="I15" s="534">
        <f t="shared" si="2"/>
        <v>0</v>
      </c>
      <c r="J15" s="534">
        <f t="shared" si="3"/>
        <v>0</v>
      </c>
      <c r="K15" s="546"/>
      <c r="L15" s="546"/>
      <c r="M15" s="547" t="s">
        <v>232</v>
      </c>
      <c r="N15" s="547" t="s">
        <v>232</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DESLGRNT</v>
      </c>
      <c r="C16" s="50" t="s">
        <v>261</v>
      </c>
      <c r="D16" s="532" t="s">
        <v>185</v>
      </c>
      <c r="E16" s="50" t="s">
        <v>53</v>
      </c>
      <c r="F16" s="533" t="str">
        <f>R.5EQCName2</f>
        <v>Bill Blosser</v>
      </c>
      <c r="G16" s="543">
        <f>R.5EQCHrs2</f>
        <v>0</v>
      </c>
      <c r="H16" s="544">
        <f>Table3[[#This Row],[Hrs Rank]]</f>
        <v>0</v>
      </c>
      <c r="I16" s="534">
        <f t="shared" si="2"/>
        <v>0</v>
      </c>
      <c r="J16" s="534">
        <f t="shared" si="3"/>
        <v>0</v>
      </c>
      <c r="K16" s="546"/>
      <c r="L16" s="546"/>
      <c r="M16" s="547" t="s">
        <v>232</v>
      </c>
      <c r="N16" s="547" t="s">
        <v>232</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DESLGRNT</v>
      </c>
      <c r="C17" s="50" t="s">
        <v>261</v>
      </c>
      <c r="D17" s="532" t="s">
        <v>186</v>
      </c>
      <c r="E17" s="50" t="s">
        <v>53</v>
      </c>
      <c r="F17" s="533" t="str">
        <f>R.5EQCName3</f>
        <v>Jane O'Keeffee</v>
      </c>
      <c r="G17" s="543">
        <f>R.5EQCHrs3</f>
        <v>0</v>
      </c>
      <c r="H17" s="544">
        <f>Table3[[#This Row],[Hrs Rank]]</f>
        <v>0</v>
      </c>
      <c r="I17" s="534">
        <f t="shared" si="2"/>
        <v>0</v>
      </c>
      <c r="J17" s="534">
        <f t="shared" si="3"/>
        <v>0</v>
      </c>
      <c r="K17" s="546"/>
      <c r="L17" s="546"/>
      <c r="M17" s="547" t="s">
        <v>232</v>
      </c>
      <c r="N17" s="547" t="s">
        <v>232</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DESLGRNT</v>
      </c>
      <c r="C18" s="50" t="s">
        <v>261</v>
      </c>
      <c r="D18" s="532" t="s">
        <v>192</v>
      </c>
      <c r="E18" s="50" t="s">
        <v>53</v>
      </c>
      <c r="F18" s="533" t="str">
        <f>R.5EQCName4</f>
        <v>Ed Armstrong</v>
      </c>
      <c r="G18" s="543">
        <f>R.5EQCHrs4</f>
        <v>0</v>
      </c>
      <c r="H18" s="544">
        <f>Table3[[#This Row],[Hrs Rank]]</f>
        <v>0</v>
      </c>
      <c r="I18" s="534">
        <f t="shared" si="2"/>
        <v>0</v>
      </c>
      <c r="J18" s="534">
        <f t="shared" si="3"/>
        <v>0</v>
      </c>
      <c r="K18" s="546"/>
      <c r="L18" s="546"/>
      <c r="M18" s="547" t="s">
        <v>232</v>
      </c>
      <c r="N18" s="547" t="s">
        <v>232</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DESLGRNT</v>
      </c>
      <c r="C19" s="50" t="s">
        <v>261</v>
      </c>
      <c r="D19" s="532" t="s">
        <v>192</v>
      </c>
      <c r="E19" s="50" t="s">
        <v>53</v>
      </c>
      <c r="F19" s="533" t="str">
        <f>R.5EQCName5</f>
        <v>Morgan Rider</v>
      </c>
      <c r="G19" s="543">
        <f>R.5EQCHrs5</f>
        <v>0</v>
      </c>
      <c r="H19" s="544">
        <f>Table3[[#This Row],[Hrs Rank]]</f>
        <v>0</v>
      </c>
      <c r="I19" s="534">
        <f t="shared" si="2"/>
        <v>0</v>
      </c>
      <c r="J19" s="534">
        <f t="shared" si="3"/>
        <v>0</v>
      </c>
      <c r="K19" s="546"/>
      <c r="L19" s="546"/>
      <c r="M19" s="547" t="s">
        <v>232</v>
      </c>
      <c r="N19" s="547" t="s">
        <v>232</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DESLGRNT</v>
      </c>
      <c r="C20" s="50" t="s">
        <v>261</v>
      </c>
      <c r="D20" s="532" t="s">
        <v>192</v>
      </c>
      <c r="E20" s="50" t="s">
        <v>53</v>
      </c>
      <c r="F20" s="533" t="str">
        <f>R.5EQCName6</f>
        <v>Pending appointment</v>
      </c>
      <c r="G20" s="543">
        <f>R.5EQCHrs6</f>
        <v>0</v>
      </c>
      <c r="H20" s="544">
        <f>Table3[[#This Row],[Hrs Rank]]</f>
        <v>0</v>
      </c>
      <c r="I20" s="534">
        <f t="shared" si="2"/>
        <v>0</v>
      </c>
      <c r="J20" s="534">
        <f t="shared" si="3"/>
        <v>0</v>
      </c>
      <c r="K20" s="546"/>
      <c r="L20" s="546"/>
      <c r="M20" s="547" t="s">
        <v>232</v>
      </c>
      <c r="N20" s="547" t="s">
        <v>232</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DESLGRNT</v>
      </c>
      <c r="C21" s="50" t="s">
        <v>261</v>
      </c>
      <c r="D21" s="535" t="s">
        <v>274</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232</v>
      </c>
      <c r="N21" s="547" t="s">
        <v>232</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DESLGRNT</v>
      </c>
      <c r="C22" s="50" t="s">
        <v>261</v>
      </c>
      <c r="D22" s="535" t="s">
        <v>274</v>
      </c>
      <c r="E22" s="50" t="s">
        <v>53</v>
      </c>
      <c r="F22" s="535">
        <f>R.5InterestedStaffNameB</f>
        <v>0</v>
      </c>
      <c r="G22" s="543">
        <f>R.5InterestedStaffHrsB</f>
        <v>0</v>
      </c>
      <c r="H22" s="544">
        <f>Table3[[#This Row],[Hrs Rank]]</f>
        <v>0</v>
      </c>
      <c r="I22" s="534">
        <f t="shared" si="2"/>
        <v>0</v>
      </c>
      <c r="J22" s="534">
        <f t="shared" si="3"/>
        <v>0</v>
      </c>
      <c r="K22" s="546"/>
      <c r="L22" s="546"/>
      <c r="M22" s="547" t="s">
        <v>232</v>
      </c>
      <c r="N22" s="547" t="s">
        <v>232</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DESLGRNT</v>
      </c>
      <c r="C23" s="50" t="s">
        <v>261</v>
      </c>
      <c r="D23" s="535" t="s">
        <v>274</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232</v>
      </c>
      <c r="N23" s="547" t="s">
        <v>232</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DESLGRNT</v>
      </c>
      <c r="C24" s="50" t="s">
        <v>261</v>
      </c>
      <c r="D24" s="535" t="s">
        <v>274</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232</v>
      </c>
      <c r="N24" s="547" t="s">
        <v>232</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DESLGRNT</v>
      </c>
      <c r="C25" s="50" t="s">
        <v>262</v>
      </c>
      <c r="D25" s="532" t="s">
        <v>125</v>
      </c>
      <c r="E25" s="50" t="s">
        <v>53</v>
      </c>
      <c r="F25" s="533">
        <f>R.6LQDevName1</f>
        <v>0</v>
      </c>
      <c r="G25" s="543">
        <f>R.6LQDevHrs1</f>
        <v>0</v>
      </c>
      <c r="H25" s="544">
        <f>Table3[[#This Row],[Hrs Rank]]</f>
        <v>0</v>
      </c>
      <c r="I25" s="534">
        <f t="shared" si="2"/>
        <v>0</v>
      </c>
      <c r="J25" s="534">
        <f t="shared" si="3"/>
        <v>0</v>
      </c>
      <c r="K25" s="546"/>
      <c r="L25" s="546"/>
      <c r="M25" s="547" t="s">
        <v>232</v>
      </c>
      <c r="N25" s="547" t="s">
        <v>232</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DESLGRNT</v>
      </c>
      <c r="C26" s="50" t="s">
        <v>262</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232</v>
      </c>
      <c r="N26" s="547" t="s">
        <v>232</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DESLGRNT</v>
      </c>
      <c r="C27" s="50" t="s">
        <v>262</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232</v>
      </c>
      <c r="N27" s="547" t="s">
        <v>232</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DESLGRNT</v>
      </c>
      <c r="C28" s="50" t="s">
        <v>262</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232</v>
      </c>
      <c r="N28" s="547" t="s">
        <v>232</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DESLGRNT</v>
      </c>
      <c r="C29" s="50" t="s">
        <v>262</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232</v>
      </c>
      <c r="N29" s="547" t="s">
        <v>232</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DESLGRNT</v>
      </c>
      <c r="C30" s="50" t="s">
        <v>262</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232</v>
      </c>
      <c r="N30" s="547" t="s">
        <v>232</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DESLGRNT</v>
      </c>
      <c r="C31" s="50" t="s">
        <v>262</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232</v>
      </c>
      <c r="N31" s="547" t="s">
        <v>232</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DESLGRNT</v>
      </c>
      <c r="C32" s="50" t="s">
        <v>262</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232</v>
      </c>
      <c r="N32" s="547" t="s">
        <v>232</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DESLGRNT</v>
      </c>
      <c r="C33" s="50" t="s">
        <v>262</v>
      </c>
      <c r="D33" s="532" t="s">
        <v>126</v>
      </c>
      <c r="E33" s="50" t="s">
        <v>53</v>
      </c>
      <c r="F33" s="535">
        <f>R.6WQDevName1</f>
        <v>0</v>
      </c>
      <c r="G33" s="543">
        <f>R.6WQDevHrs1</f>
        <v>0</v>
      </c>
      <c r="H33" s="544">
        <f>Table3[[#This Row],[Hrs Rank]]</f>
        <v>0</v>
      </c>
      <c r="I33" s="534">
        <f t="shared" si="2"/>
        <v>0</v>
      </c>
      <c r="J33" s="534">
        <f t="shared" si="3"/>
        <v>0</v>
      </c>
      <c r="K33" s="546"/>
      <c r="L33" s="546"/>
      <c r="M33" s="547" t="s">
        <v>232</v>
      </c>
      <c r="N33" s="547" t="s">
        <v>232</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DESLGRNT</v>
      </c>
      <c r="C34" s="50" t="s">
        <v>262</v>
      </c>
      <c r="D34" s="532" t="s">
        <v>126</v>
      </c>
      <c r="E34" s="50" t="s">
        <v>53</v>
      </c>
      <c r="F34" s="535">
        <f>R.6WQDevName2</f>
        <v>0</v>
      </c>
      <c r="G34" s="543">
        <f>R.6WQDevHrs2</f>
        <v>0</v>
      </c>
      <c r="H34" s="544">
        <f>Table3[[#This Row],[Hrs Rank]]</f>
        <v>0</v>
      </c>
      <c r="I34" s="534">
        <f t="shared" si="2"/>
        <v>0</v>
      </c>
      <c r="J34" s="534">
        <f t="shared" si="3"/>
        <v>0</v>
      </c>
      <c r="K34" s="546"/>
      <c r="L34" s="546"/>
      <c r="M34" s="547" t="s">
        <v>232</v>
      </c>
      <c r="N34" s="547" t="s">
        <v>232</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DESLGRNT</v>
      </c>
      <c r="C35" s="50" t="s">
        <v>262</v>
      </c>
      <c r="D35" s="532" t="s">
        <v>126</v>
      </c>
      <c r="E35" s="50" t="s">
        <v>53</v>
      </c>
      <c r="F35" s="535">
        <f>R.6WQDevName3</f>
        <v>0</v>
      </c>
      <c r="G35" s="543">
        <f>R.6WQDevHrs3</f>
        <v>0</v>
      </c>
      <c r="H35" s="544">
        <f>Table3[[#This Row],[Hrs Rank]]</f>
        <v>0</v>
      </c>
      <c r="I35" s="534">
        <f t="shared" si="2"/>
        <v>0</v>
      </c>
      <c r="J35" s="534">
        <f t="shared" si="3"/>
        <v>0</v>
      </c>
      <c r="K35" s="546"/>
      <c r="L35" s="546"/>
      <c r="M35" s="547" t="s">
        <v>232</v>
      </c>
      <c r="N35" s="547" t="s">
        <v>232</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DESLGRNT</v>
      </c>
      <c r="C36" s="50" t="s">
        <v>262</v>
      </c>
      <c r="D36" s="532" t="s">
        <v>126</v>
      </c>
      <c r="E36" s="50" t="s">
        <v>53</v>
      </c>
      <c r="F36" s="535">
        <f>R.6WQDevName4</f>
        <v>0</v>
      </c>
      <c r="G36" s="543">
        <f>R.6WQDevHrs4</f>
        <v>0</v>
      </c>
      <c r="H36" s="544">
        <f>Table3[[#This Row],[Hrs Rank]]</f>
        <v>0</v>
      </c>
      <c r="I36" s="534">
        <f t="shared" si="2"/>
        <v>0</v>
      </c>
      <c r="J36" s="534">
        <f t="shared" si="3"/>
        <v>0</v>
      </c>
      <c r="K36" s="546"/>
      <c r="L36" s="546"/>
      <c r="M36" s="547" t="s">
        <v>232</v>
      </c>
      <c r="N36" s="547" t="s">
        <v>232</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DESLGRNT</v>
      </c>
      <c r="C37" s="50" t="s">
        <v>262</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232</v>
      </c>
      <c r="N37" s="547" t="s">
        <v>232</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DESLGRNT</v>
      </c>
      <c r="C38" s="50" t="s">
        <v>262</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232</v>
      </c>
      <c r="N38" s="547" t="s">
        <v>232</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DESLGRNT</v>
      </c>
      <c r="C39" s="50" t="s">
        <v>262</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232</v>
      </c>
      <c r="N39" s="547" t="s">
        <v>232</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DESLGRNT</v>
      </c>
      <c r="C40" s="50" t="s">
        <v>262</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232</v>
      </c>
      <c r="N40" s="547" t="s">
        <v>232</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DESLGRNT</v>
      </c>
      <c r="C41" s="50" t="s">
        <v>262</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232</v>
      </c>
      <c r="N41" s="547" t="s">
        <v>232</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DESLGRNT</v>
      </c>
      <c r="C42" s="50" t="s">
        <v>262</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232</v>
      </c>
      <c r="N42" s="547" t="s">
        <v>232</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DESLGRNT</v>
      </c>
      <c r="C43" s="50" t="s">
        <v>262</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232</v>
      </c>
      <c r="N43" s="547" t="s">
        <v>232</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DESLGRNT</v>
      </c>
      <c r="C44" s="50" t="s">
        <v>262</v>
      </c>
      <c r="D44" s="532" t="s">
        <v>127</v>
      </c>
      <c r="E44" s="50" t="s">
        <v>53</v>
      </c>
      <c r="F44" s="535">
        <f>R.6AQDevName4</f>
        <v>0</v>
      </c>
      <c r="G44" s="543">
        <f>R.6AQDevHrs4</f>
        <v>0</v>
      </c>
      <c r="H44" s="544">
        <f>Table3[[#This Row],[Hrs Rank]]</f>
        <v>0</v>
      </c>
      <c r="I44" s="534">
        <f t="shared" si="2"/>
        <v>0</v>
      </c>
      <c r="J44" s="534">
        <f t="shared" si="3"/>
        <v>0</v>
      </c>
      <c r="K44" s="546"/>
      <c r="L44" s="546"/>
      <c r="M44" s="547" t="s">
        <v>232</v>
      </c>
      <c r="N44" s="547" t="s">
        <v>232</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DESLGRNT</v>
      </c>
      <c r="C45" s="50" t="s">
        <v>262</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232</v>
      </c>
      <c r="N45" s="547" t="s">
        <v>232</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DESLGRNT</v>
      </c>
      <c r="C46" s="50" t="s">
        <v>262</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232</v>
      </c>
      <c r="N46" s="547" t="s">
        <v>232</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DESLGRNT</v>
      </c>
      <c r="C47" s="50" t="s">
        <v>262</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232</v>
      </c>
      <c r="N47" s="547" t="s">
        <v>232</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DESLGRNT</v>
      </c>
      <c r="C48" s="50" t="s">
        <v>262</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232</v>
      </c>
      <c r="N48" s="547" t="s">
        <v>232</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DESLGRNT</v>
      </c>
      <c r="C49" s="50" t="s">
        <v>262</v>
      </c>
      <c r="D49" s="532" t="s">
        <v>211</v>
      </c>
      <c r="E49" s="50" t="s">
        <v>53</v>
      </c>
      <c r="F49" s="535" t="str">
        <f>R.6MSDDevName1</f>
        <v xml:space="preserve"> </v>
      </c>
      <c r="G49" s="543">
        <f>R.6MSDDevHrs1</f>
        <v>0</v>
      </c>
      <c r="H49" s="544">
        <f>Table3[[#This Row],[Hrs Rank]]</f>
        <v>0</v>
      </c>
      <c r="I49" s="534">
        <f t="shared" si="2"/>
        <v>0</v>
      </c>
      <c r="J49" s="534">
        <f t="shared" si="3"/>
        <v>0</v>
      </c>
      <c r="K49" s="546"/>
      <c r="L49" s="546"/>
      <c r="M49" s="547" t="s">
        <v>232</v>
      </c>
      <c r="N49" s="547" t="s">
        <v>232</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DESLGRNT</v>
      </c>
      <c r="C50" s="50" t="s">
        <v>262</v>
      </c>
      <c r="D50" s="532" t="s">
        <v>211</v>
      </c>
      <c r="E50" s="50" t="s">
        <v>53</v>
      </c>
      <c r="F50" s="535" t="str">
        <f>R.6MSDDevName2</f>
        <v xml:space="preserve"> </v>
      </c>
      <c r="G50" s="543">
        <f>R.6MSDDevHrs2</f>
        <v>0</v>
      </c>
      <c r="H50" s="544">
        <f>Table3[[#This Row],[Hrs Rank]]</f>
        <v>0</v>
      </c>
      <c r="I50" s="534">
        <f t="shared" si="2"/>
        <v>0</v>
      </c>
      <c r="J50" s="534">
        <f t="shared" si="3"/>
        <v>0</v>
      </c>
      <c r="K50" s="546"/>
      <c r="L50" s="546"/>
      <c r="M50" s="547" t="s">
        <v>232</v>
      </c>
      <c r="N50" s="547" t="s">
        <v>232</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DESLGRNT</v>
      </c>
      <c r="C51" s="50" t="s">
        <v>262</v>
      </c>
      <c r="D51" s="532" t="s">
        <v>211</v>
      </c>
      <c r="E51" s="50" t="s">
        <v>53</v>
      </c>
      <c r="F51" s="535" t="str">
        <f>R.6MSDDevName3</f>
        <v xml:space="preserve"> </v>
      </c>
      <c r="G51" s="543">
        <f>R.6MSDDevHrs3</f>
        <v>0</v>
      </c>
      <c r="H51" s="544">
        <f>Table3[[#This Row],[Hrs Rank]]</f>
        <v>0</v>
      </c>
      <c r="I51" s="534">
        <f t="shared" si="2"/>
        <v>0</v>
      </c>
      <c r="J51" s="534">
        <f t="shared" si="3"/>
        <v>0</v>
      </c>
      <c r="K51" s="546"/>
      <c r="L51" s="546"/>
      <c r="M51" s="547" t="s">
        <v>232</v>
      </c>
      <c r="N51" s="547" t="s">
        <v>232</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DESLGRNT</v>
      </c>
      <c r="C52" s="50" t="s">
        <v>262</v>
      </c>
      <c r="D52" s="532" t="s">
        <v>211</v>
      </c>
      <c r="E52" s="50" t="s">
        <v>53</v>
      </c>
      <c r="F52" s="535" t="str">
        <f>R.6MSDDevName4</f>
        <v xml:space="preserve"> </v>
      </c>
      <c r="G52" s="543">
        <f>R.6MSDDevHrs4</f>
        <v>0</v>
      </c>
      <c r="H52" s="544">
        <f>Table3[[#This Row],[Hrs Rank]]</f>
        <v>0</v>
      </c>
      <c r="I52" s="534">
        <f t="shared" si="2"/>
        <v>0</v>
      </c>
      <c r="J52" s="534">
        <f t="shared" si="3"/>
        <v>0</v>
      </c>
      <c r="K52" s="546"/>
      <c r="L52" s="546"/>
      <c r="M52" s="547" t="s">
        <v>232</v>
      </c>
      <c r="N52" s="547" t="s">
        <v>232</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DESLGRNT</v>
      </c>
      <c r="C53" s="50" t="s">
        <v>262</v>
      </c>
      <c r="D53" s="532" t="s">
        <v>211</v>
      </c>
      <c r="E53" s="50" t="s">
        <v>52</v>
      </c>
      <c r="F53" s="535" t="str">
        <f>R.6MSDImpName1</f>
        <v xml:space="preserve"> </v>
      </c>
      <c r="G53" s="543">
        <f>R.6MSDImpHrs1</f>
        <v>0</v>
      </c>
      <c r="H53" s="544">
        <f>Table3[[#This Row],[Hrs Rank]]</f>
        <v>0</v>
      </c>
      <c r="I53" s="534">
        <f t="shared" si="2"/>
        <v>0</v>
      </c>
      <c r="J53" s="534">
        <f t="shared" si="3"/>
        <v>0</v>
      </c>
      <c r="K53" s="546"/>
      <c r="L53" s="546"/>
      <c r="M53" s="547" t="s">
        <v>232</v>
      </c>
      <c r="N53" s="547" t="s">
        <v>232</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DESLGRNT</v>
      </c>
      <c r="C54" s="50" t="s">
        <v>262</v>
      </c>
      <c r="D54" s="532" t="s">
        <v>211</v>
      </c>
      <c r="E54" s="50" t="s">
        <v>52</v>
      </c>
      <c r="F54" s="535" t="str">
        <f>R.6MSDImpName2</f>
        <v xml:space="preserve"> </v>
      </c>
      <c r="G54" s="543">
        <f>R.6MSDImpHrs2</f>
        <v>0</v>
      </c>
      <c r="H54" s="544">
        <f>Table3[[#This Row],[Hrs Rank]]</f>
        <v>0</v>
      </c>
      <c r="I54" s="534">
        <f t="shared" si="2"/>
        <v>0</v>
      </c>
      <c r="J54" s="534">
        <f t="shared" si="3"/>
        <v>0</v>
      </c>
      <c r="K54" s="546"/>
      <c r="L54" s="546"/>
      <c r="M54" s="547" t="s">
        <v>232</v>
      </c>
      <c r="N54" s="547" t="s">
        <v>232</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DESLGRNT</v>
      </c>
      <c r="C55" s="50" t="s">
        <v>262</v>
      </c>
      <c r="D55" s="532" t="s">
        <v>211</v>
      </c>
      <c r="E55" s="50" t="s">
        <v>52</v>
      </c>
      <c r="F55" s="535" t="str">
        <f>R.6MSDImpName3</f>
        <v xml:space="preserve"> </v>
      </c>
      <c r="G55" s="543">
        <f>R.6MSDImpHrs3</f>
        <v>0</v>
      </c>
      <c r="H55" s="544">
        <f>Table3[[#This Row],[Hrs Rank]]</f>
        <v>0</v>
      </c>
      <c r="I55" s="534">
        <f t="shared" si="2"/>
        <v>0</v>
      </c>
      <c r="J55" s="534">
        <f t="shared" si="3"/>
        <v>0</v>
      </c>
      <c r="K55" s="546"/>
      <c r="L55" s="546"/>
      <c r="M55" s="547" t="s">
        <v>232</v>
      </c>
      <c r="N55" s="547" t="s">
        <v>232</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DESLGRNT</v>
      </c>
      <c r="C56" s="50" t="s">
        <v>262</v>
      </c>
      <c r="D56" s="532" t="s">
        <v>211</v>
      </c>
      <c r="E56" s="50" t="s">
        <v>52</v>
      </c>
      <c r="F56" s="535" t="str">
        <f>R.6MSDImpName4</f>
        <v xml:space="preserve"> </v>
      </c>
      <c r="G56" s="543">
        <f>R.6MSDImpHrs4</f>
        <v>0</v>
      </c>
      <c r="H56" s="544">
        <f>Table3[[#This Row],[Hrs Rank]]</f>
        <v>0</v>
      </c>
      <c r="I56" s="534">
        <f t="shared" si="2"/>
        <v>0</v>
      </c>
      <c r="J56" s="534">
        <f t="shared" si="3"/>
        <v>0</v>
      </c>
      <c r="K56" s="546"/>
      <c r="L56" s="546"/>
      <c r="M56" s="547" t="s">
        <v>232</v>
      </c>
      <c r="N56" s="547" t="s">
        <v>232</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DESLGRNT</v>
      </c>
      <c r="C57" s="50" t="s">
        <v>263</v>
      </c>
      <c r="D57" s="532" t="s">
        <v>214</v>
      </c>
      <c r="E57" s="50" t="s">
        <v>53</v>
      </c>
      <c r="F57" s="535">
        <f>R.7EastDevName1</f>
        <v>0</v>
      </c>
      <c r="G57" s="543">
        <f>R.7EastDevHrs1</f>
        <v>0</v>
      </c>
      <c r="H57" s="544">
        <f>Table3[[#This Row],[Hrs Rank]]</f>
        <v>0</v>
      </c>
      <c r="I57" s="534">
        <f t="shared" si="2"/>
        <v>0</v>
      </c>
      <c r="J57" s="534">
        <f t="shared" si="3"/>
        <v>0</v>
      </c>
      <c r="K57" s="546"/>
      <c r="L57" s="546"/>
      <c r="M57" s="547" t="s">
        <v>232</v>
      </c>
      <c r="N57" s="547" t="s">
        <v>232</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DESLGRNT</v>
      </c>
      <c r="C58" s="50" t="s">
        <v>263</v>
      </c>
      <c r="D58" s="532" t="s">
        <v>214</v>
      </c>
      <c r="E58" s="50" t="s">
        <v>53</v>
      </c>
      <c r="F58" s="535" t="str">
        <f>R.7EastDevName2</f>
        <v xml:space="preserve"> </v>
      </c>
      <c r="G58" s="543">
        <f>R.7EastDevHrs2</f>
        <v>0</v>
      </c>
      <c r="H58" s="544">
        <f>Table3[[#This Row],[Hrs Rank]]</f>
        <v>0</v>
      </c>
      <c r="I58" s="534">
        <f t="shared" si="2"/>
        <v>0</v>
      </c>
      <c r="J58" s="534">
        <f t="shared" si="3"/>
        <v>0</v>
      </c>
      <c r="K58" s="546"/>
      <c r="L58" s="546"/>
      <c r="M58" s="547" t="s">
        <v>232</v>
      </c>
      <c r="N58" s="547" t="s">
        <v>232</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DESLGRNT</v>
      </c>
      <c r="C59" s="50" t="s">
        <v>263</v>
      </c>
      <c r="D59" s="532" t="s">
        <v>214</v>
      </c>
      <c r="E59" s="50" t="s">
        <v>53</v>
      </c>
      <c r="F59" s="535" t="str">
        <f>R.7EastDevName3</f>
        <v xml:space="preserve"> </v>
      </c>
      <c r="G59" s="543">
        <f>R.7EastDevHrs3</f>
        <v>0</v>
      </c>
      <c r="H59" s="544">
        <f>Table3[[#This Row],[Hrs Rank]]</f>
        <v>0</v>
      </c>
      <c r="I59" s="534">
        <f t="shared" si="2"/>
        <v>0</v>
      </c>
      <c r="J59" s="534">
        <f t="shared" si="3"/>
        <v>0</v>
      </c>
      <c r="K59" s="546"/>
      <c r="L59" s="546"/>
      <c r="M59" s="547" t="s">
        <v>232</v>
      </c>
      <c r="N59" s="547" t="s">
        <v>232</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DESLGRNT</v>
      </c>
      <c r="C60" s="50" t="s">
        <v>263</v>
      </c>
      <c r="D60" s="532" t="s">
        <v>214</v>
      </c>
      <c r="E60" s="50" t="s">
        <v>53</v>
      </c>
      <c r="F60" s="535">
        <f>R.7EastDevName4</f>
        <v>0</v>
      </c>
      <c r="G60" s="543">
        <f>R.7EastDevHrs4</f>
        <v>0</v>
      </c>
      <c r="H60" s="544">
        <f>Table3[[#This Row],[Hrs Rank]]</f>
        <v>0</v>
      </c>
      <c r="I60" s="534">
        <f t="shared" si="2"/>
        <v>0</v>
      </c>
      <c r="J60" s="534">
        <f t="shared" si="3"/>
        <v>0</v>
      </c>
      <c r="K60" s="546"/>
      <c r="L60" s="546"/>
      <c r="M60" s="547" t="s">
        <v>232</v>
      </c>
      <c r="N60" s="547" t="s">
        <v>232</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DESLGRNT</v>
      </c>
      <c r="C61" s="50" t="s">
        <v>263</v>
      </c>
      <c r="D61" s="532" t="s">
        <v>214</v>
      </c>
      <c r="E61" s="50" t="s">
        <v>52</v>
      </c>
      <c r="F61" s="535">
        <f>R.7EastImpName1</f>
        <v>0</v>
      </c>
      <c r="G61" s="543">
        <f>R.7EastImpHrs1</f>
        <v>0</v>
      </c>
      <c r="H61" s="544">
        <f>Table3[[#This Row],[Hrs Rank]]</f>
        <v>0</v>
      </c>
      <c r="I61" s="534">
        <f t="shared" si="2"/>
        <v>0</v>
      </c>
      <c r="J61" s="534">
        <f t="shared" si="3"/>
        <v>0</v>
      </c>
      <c r="K61" s="546"/>
      <c r="L61" s="546"/>
      <c r="M61" s="547" t="s">
        <v>232</v>
      </c>
      <c r="N61" s="547" t="s">
        <v>232</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DESLGRNT</v>
      </c>
      <c r="C62" s="50" t="s">
        <v>263</v>
      </c>
      <c r="D62" s="532" t="s">
        <v>214</v>
      </c>
      <c r="E62" s="50" t="s">
        <v>52</v>
      </c>
      <c r="F62" s="535">
        <f>R.7EastImpName2</f>
        <v>0</v>
      </c>
      <c r="G62" s="543">
        <f>R.7EastImpHrs2</f>
        <v>0</v>
      </c>
      <c r="H62" s="544">
        <f>Table3[[#This Row],[Hrs Rank]]</f>
        <v>0</v>
      </c>
      <c r="I62" s="534">
        <f t="shared" si="2"/>
        <v>0</v>
      </c>
      <c r="J62" s="534">
        <f t="shared" si="3"/>
        <v>0</v>
      </c>
      <c r="K62" s="546"/>
      <c r="L62" s="546"/>
      <c r="M62" s="547" t="s">
        <v>232</v>
      </c>
      <c r="N62" s="547" t="s">
        <v>232</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DESLGRNT</v>
      </c>
      <c r="C63" s="50" t="s">
        <v>263</v>
      </c>
      <c r="D63" s="532" t="s">
        <v>214</v>
      </c>
      <c r="E63" s="50" t="s">
        <v>52</v>
      </c>
      <c r="F63" s="535">
        <f>R.7EastImpName3</f>
        <v>0</v>
      </c>
      <c r="G63" s="543">
        <f>R.7EastImpHrs3</f>
        <v>0</v>
      </c>
      <c r="H63" s="544">
        <f>Table3[[#This Row],[Hrs Rank]]</f>
        <v>0</v>
      </c>
      <c r="I63" s="534">
        <f t="shared" si="2"/>
        <v>0</v>
      </c>
      <c r="J63" s="534">
        <f t="shared" si="3"/>
        <v>0</v>
      </c>
      <c r="K63" s="546"/>
      <c r="L63" s="546"/>
      <c r="M63" s="547" t="s">
        <v>232</v>
      </c>
      <c r="N63" s="547" t="s">
        <v>232</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DESLGRNT</v>
      </c>
      <c r="C64" s="50" t="s">
        <v>263</v>
      </c>
      <c r="D64" s="532" t="s">
        <v>214</v>
      </c>
      <c r="E64" s="50" t="s">
        <v>52</v>
      </c>
      <c r="F64" s="535">
        <f>R.7EastImpName4</f>
        <v>0</v>
      </c>
      <c r="G64" s="543">
        <f>R.7EastImpHrs4</f>
        <v>0</v>
      </c>
      <c r="H64" s="544">
        <f>Table3[[#This Row],[Hrs Rank]]</f>
        <v>0</v>
      </c>
      <c r="I64" s="534">
        <f t="shared" si="2"/>
        <v>0</v>
      </c>
      <c r="J64" s="534">
        <f t="shared" si="3"/>
        <v>0</v>
      </c>
      <c r="K64" s="546"/>
      <c r="L64" s="546"/>
      <c r="M64" s="547" t="s">
        <v>232</v>
      </c>
      <c r="N64" s="547" t="s">
        <v>232</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DESLGRNT</v>
      </c>
      <c r="C65" s="50" t="s">
        <v>263</v>
      </c>
      <c r="D65" s="532" t="s">
        <v>215</v>
      </c>
      <c r="E65" s="50" t="s">
        <v>53</v>
      </c>
      <c r="F65" s="535">
        <f>R.7WestDevName1</f>
        <v>0</v>
      </c>
      <c r="G65" s="543">
        <f>R.7WestDevHrs1</f>
        <v>0</v>
      </c>
      <c r="H65" s="544">
        <f>Table3[[#This Row],[Hrs Rank]]</f>
        <v>0</v>
      </c>
      <c r="I65" s="534">
        <f t="shared" si="2"/>
        <v>0</v>
      </c>
      <c r="J65" s="534">
        <f t="shared" si="3"/>
        <v>0</v>
      </c>
      <c r="K65" s="546"/>
      <c r="L65" s="546"/>
      <c r="M65" s="547" t="s">
        <v>232</v>
      </c>
      <c r="N65" s="547" t="s">
        <v>232</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DESLGRNT</v>
      </c>
      <c r="C66" s="50" t="s">
        <v>263</v>
      </c>
      <c r="D66" s="532" t="s">
        <v>215</v>
      </c>
      <c r="E66" s="50" t="s">
        <v>53</v>
      </c>
      <c r="F66" s="535">
        <f>R.7WestDevName2</f>
        <v>0</v>
      </c>
      <c r="G66" s="543">
        <f>R.7WestDevHrs2</f>
        <v>0</v>
      </c>
      <c r="H66" s="544">
        <f>Table3[[#This Row],[Hrs Rank]]</f>
        <v>0</v>
      </c>
      <c r="I66" s="534">
        <f t="shared" si="2"/>
        <v>0</v>
      </c>
      <c r="J66" s="534">
        <f t="shared" si="3"/>
        <v>0</v>
      </c>
      <c r="K66" s="546"/>
      <c r="L66" s="546"/>
      <c r="M66" s="547" t="s">
        <v>232</v>
      </c>
      <c r="N66" s="547" t="s">
        <v>232</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DESLGRNT</v>
      </c>
      <c r="C67" s="50" t="s">
        <v>263</v>
      </c>
      <c r="D67" s="532" t="s">
        <v>215</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232</v>
      </c>
      <c r="N67" s="547" t="s">
        <v>232</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DESLGRNT</v>
      </c>
      <c r="C68" s="50" t="s">
        <v>263</v>
      </c>
      <c r="D68" s="532" t="s">
        <v>215</v>
      </c>
      <c r="E68" s="50" t="s">
        <v>53</v>
      </c>
      <c r="F68" s="535">
        <f>R.7WestDevName4</f>
        <v>0</v>
      </c>
      <c r="G68" s="543">
        <f>R.7WestDevHrs4</f>
        <v>0</v>
      </c>
      <c r="H68" s="544">
        <f>Table3[[#This Row],[Hrs Rank]]</f>
        <v>0</v>
      </c>
      <c r="I68" s="534">
        <f t="shared" si="8"/>
        <v>0</v>
      </c>
      <c r="J68" s="534">
        <f t="shared" si="9"/>
        <v>0</v>
      </c>
      <c r="K68" s="546"/>
      <c r="L68" s="546"/>
      <c r="M68" s="547" t="s">
        <v>232</v>
      </c>
      <c r="N68" s="547" t="s">
        <v>232</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DESLGRNT</v>
      </c>
      <c r="C69" s="50" t="s">
        <v>263</v>
      </c>
      <c r="D69" s="532" t="s">
        <v>215</v>
      </c>
      <c r="E69" s="50" t="s">
        <v>52</v>
      </c>
      <c r="F69" s="535" t="str">
        <f>R.7WestImpName1</f>
        <v xml:space="preserve"> </v>
      </c>
      <c r="G69" s="543">
        <f>R.7WestImpHrs1</f>
        <v>0</v>
      </c>
      <c r="H69" s="544">
        <f>Table3[[#This Row],[Hrs Rank]]</f>
        <v>0</v>
      </c>
      <c r="I69" s="534">
        <f t="shared" si="8"/>
        <v>0</v>
      </c>
      <c r="J69" s="534">
        <f t="shared" si="9"/>
        <v>0</v>
      </c>
      <c r="K69" s="546"/>
      <c r="L69" s="546"/>
      <c r="M69" s="547" t="s">
        <v>232</v>
      </c>
      <c r="N69" s="547" t="s">
        <v>232</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DESLGRNT</v>
      </c>
      <c r="C70" s="50" t="s">
        <v>263</v>
      </c>
      <c r="D70" s="532" t="s">
        <v>215</v>
      </c>
      <c r="E70" s="50" t="s">
        <v>52</v>
      </c>
      <c r="F70" s="535">
        <f>R.7WestImpName2</f>
        <v>0</v>
      </c>
      <c r="G70" s="543">
        <f>R.7WestDevHrs2</f>
        <v>0</v>
      </c>
      <c r="H70" s="544">
        <f>Table3[[#This Row],[Hrs Rank]]</f>
        <v>0</v>
      </c>
      <c r="I70" s="534">
        <f t="shared" si="8"/>
        <v>0</v>
      </c>
      <c r="J70" s="534">
        <f t="shared" si="9"/>
        <v>0</v>
      </c>
      <c r="K70" s="546"/>
      <c r="L70" s="546"/>
      <c r="M70" s="547" t="s">
        <v>232</v>
      </c>
      <c r="N70" s="547" t="s">
        <v>232</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DESLGRNT</v>
      </c>
      <c r="C71" s="50" t="s">
        <v>263</v>
      </c>
      <c r="D71" s="532" t="s">
        <v>215</v>
      </c>
      <c r="E71" s="50" t="s">
        <v>52</v>
      </c>
      <c r="F71" s="535">
        <f>R.7WestImpName3</f>
        <v>0</v>
      </c>
      <c r="G71" s="543">
        <f>R.7WestDevHrs3</f>
        <v>0</v>
      </c>
      <c r="H71" s="544">
        <f>Table3[[#This Row],[Hrs Rank]]</f>
        <v>0</v>
      </c>
      <c r="I71" s="534">
        <f t="shared" si="8"/>
        <v>0</v>
      </c>
      <c r="J71" s="534">
        <f t="shared" si="9"/>
        <v>0</v>
      </c>
      <c r="K71" s="546"/>
      <c r="L71" s="546"/>
      <c r="M71" s="547" t="s">
        <v>232</v>
      </c>
      <c r="N71" s="547" t="s">
        <v>232</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DESLGRNT</v>
      </c>
      <c r="C72" s="50" t="s">
        <v>263</v>
      </c>
      <c r="D72" s="532" t="s">
        <v>215</v>
      </c>
      <c r="E72" s="50" t="s">
        <v>52</v>
      </c>
      <c r="F72" s="535">
        <f>R.7WestImpName4</f>
        <v>0</v>
      </c>
      <c r="G72" s="543">
        <f>R.7WestDevHrs4</f>
        <v>0</v>
      </c>
      <c r="H72" s="544">
        <f>Table3[[#This Row],[Hrs Rank]]</f>
        <v>0</v>
      </c>
      <c r="I72" s="534">
        <f t="shared" si="8"/>
        <v>0</v>
      </c>
      <c r="J72" s="534">
        <f t="shared" si="9"/>
        <v>0</v>
      </c>
      <c r="K72" s="546"/>
      <c r="L72" s="546"/>
      <c r="M72" s="547" t="s">
        <v>232</v>
      </c>
      <c r="N72" s="547" t="s">
        <v>232</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DESLGRNT</v>
      </c>
      <c r="C73" s="50" t="s">
        <v>263</v>
      </c>
      <c r="D73" s="532" t="s">
        <v>216</v>
      </c>
      <c r="E73" s="50" t="s">
        <v>53</v>
      </c>
      <c r="F73" s="535" t="str">
        <f>R.7NWRegionDevName1</f>
        <v xml:space="preserve"> </v>
      </c>
      <c r="G73" s="543">
        <f>R.7NWRegionDevHrs1</f>
        <v>0</v>
      </c>
      <c r="H73" s="544">
        <f>Table3[[#This Row],[Hrs Rank]]</f>
        <v>0</v>
      </c>
      <c r="I73" s="534">
        <f t="shared" si="8"/>
        <v>0</v>
      </c>
      <c r="J73" s="534">
        <f t="shared" si="9"/>
        <v>0</v>
      </c>
      <c r="K73" s="546"/>
      <c r="L73" s="546"/>
      <c r="M73" s="547" t="s">
        <v>232</v>
      </c>
      <c r="N73" s="547" t="s">
        <v>232</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DESLGRNT</v>
      </c>
      <c r="C74" s="50" t="s">
        <v>263</v>
      </c>
      <c r="D74" s="532" t="s">
        <v>216</v>
      </c>
      <c r="E74" s="50" t="s">
        <v>53</v>
      </c>
      <c r="F74" s="535" t="str">
        <f>R.7NWRegionDevName2</f>
        <v xml:space="preserve"> </v>
      </c>
      <c r="G74" s="543">
        <f>R.7NWRegionDevHrs2</f>
        <v>0</v>
      </c>
      <c r="H74" s="544">
        <f>Table3[[#This Row],[Hrs Rank]]</f>
        <v>0</v>
      </c>
      <c r="I74" s="534">
        <f t="shared" si="8"/>
        <v>0</v>
      </c>
      <c r="J74" s="534">
        <f t="shared" si="9"/>
        <v>0</v>
      </c>
      <c r="K74" s="546"/>
      <c r="L74" s="546"/>
      <c r="M74" s="547" t="s">
        <v>232</v>
      </c>
      <c r="N74" s="547" t="s">
        <v>232</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DESLGRNT</v>
      </c>
      <c r="C75" s="50" t="s">
        <v>263</v>
      </c>
      <c r="D75" s="532" t="s">
        <v>216</v>
      </c>
      <c r="E75" s="50" t="s">
        <v>53</v>
      </c>
      <c r="F75" s="535" t="str">
        <f>R.7NWRegionDevName3</f>
        <v xml:space="preserve"> </v>
      </c>
      <c r="G75" s="543">
        <f>R.7NWRegionDevHrs3</f>
        <v>0</v>
      </c>
      <c r="H75" s="544">
        <f>Table3[[#This Row],[Hrs Rank]]</f>
        <v>0</v>
      </c>
      <c r="I75" s="534">
        <f t="shared" si="8"/>
        <v>0</v>
      </c>
      <c r="J75" s="534">
        <f t="shared" si="9"/>
        <v>0</v>
      </c>
      <c r="K75" s="546"/>
      <c r="L75" s="546"/>
      <c r="M75" s="547" t="s">
        <v>232</v>
      </c>
      <c r="N75" s="547" t="s">
        <v>232</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DESLGRNT</v>
      </c>
      <c r="C76" s="50" t="s">
        <v>263</v>
      </c>
      <c r="D76" s="532" t="s">
        <v>216</v>
      </c>
      <c r="E76" s="50" t="s">
        <v>53</v>
      </c>
      <c r="F76" s="535" t="str">
        <f>R.7NWRegionDevName4</f>
        <v xml:space="preserve"> </v>
      </c>
      <c r="G76" s="543">
        <f>R.7NWRegionDevHrs4</f>
        <v>0</v>
      </c>
      <c r="H76" s="544">
        <f>Table3[[#This Row],[Hrs Rank]]</f>
        <v>0</v>
      </c>
      <c r="I76" s="534">
        <f t="shared" si="8"/>
        <v>0</v>
      </c>
      <c r="J76" s="534">
        <f t="shared" si="9"/>
        <v>0</v>
      </c>
      <c r="K76" s="546"/>
      <c r="L76" s="546"/>
      <c r="M76" s="547" t="s">
        <v>232</v>
      </c>
      <c r="N76" s="547" t="s">
        <v>232</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DESLGRNT</v>
      </c>
      <c r="C77" s="50" t="s">
        <v>263</v>
      </c>
      <c r="D77" s="532" t="s">
        <v>216</v>
      </c>
      <c r="E77" s="50" t="s">
        <v>52</v>
      </c>
      <c r="F77" s="535" t="str">
        <f>R.7NWRegionImpName1</f>
        <v xml:space="preserve"> </v>
      </c>
      <c r="G77" s="543">
        <f>R.7NWRegionImpHrs1</f>
        <v>0</v>
      </c>
      <c r="H77" s="544">
        <f>Table3[[#This Row],[Hrs Rank]]</f>
        <v>0</v>
      </c>
      <c r="I77" s="534">
        <f t="shared" si="8"/>
        <v>0</v>
      </c>
      <c r="J77" s="534">
        <f t="shared" si="9"/>
        <v>0</v>
      </c>
      <c r="K77" s="546"/>
      <c r="L77" s="546"/>
      <c r="M77" s="547" t="s">
        <v>232</v>
      </c>
      <c r="N77" s="547" t="s">
        <v>232</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DESLGRNT</v>
      </c>
      <c r="C78" s="50" t="s">
        <v>263</v>
      </c>
      <c r="D78" s="532" t="s">
        <v>216</v>
      </c>
      <c r="E78" s="50" t="s">
        <v>52</v>
      </c>
      <c r="F78" s="535" t="str">
        <f>R.7NWRegionImpName2</f>
        <v xml:space="preserve"> </v>
      </c>
      <c r="G78" s="543">
        <f>R.7NWRegionImpHrs2</f>
        <v>0</v>
      </c>
      <c r="H78" s="544">
        <f>Table3[[#This Row],[Hrs Rank]]</f>
        <v>0</v>
      </c>
      <c r="I78" s="534">
        <f t="shared" si="8"/>
        <v>0</v>
      </c>
      <c r="J78" s="534">
        <f t="shared" si="9"/>
        <v>0</v>
      </c>
      <c r="K78" s="546"/>
      <c r="L78" s="546"/>
      <c r="M78" s="547" t="s">
        <v>232</v>
      </c>
      <c r="N78" s="547" t="s">
        <v>232</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DESLGRNT</v>
      </c>
      <c r="C79" s="50" t="s">
        <v>263</v>
      </c>
      <c r="D79" s="532" t="s">
        <v>216</v>
      </c>
      <c r="E79" s="50" t="s">
        <v>52</v>
      </c>
      <c r="F79" s="535" t="str">
        <f>R.7NWRegionImpName3</f>
        <v xml:space="preserve"> </v>
      </c>
      <c r="G79" s="543">
        <f>R.7NWRegionImpHrs3</f>
        <v>0</v>
      </c>
      <c r="H79" s="544">
        <f>Table3[[#This Row],[Hrs Rank]]</f>
        <v>0</v>
      </c>
      <c r="I79" s="534">
        <f t="shared" si="8"/>
        <v>0</v>
      </c>
      <c r="J79" s="534">
        <f t="shared" si="9"/>
        <v>0</v>
      </c>
      <c r="K79" s="546"/>
      <c r="L79" s="546"/>
      <c r="M79" s="547" t="s">
        <v>232</v>
      </c>
      <c r="N79" s="547" t="s">
        <v>232</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DESLGRNT</v>
      </c>
      <c r="C80" s="50" t="s">
        <v>263</v>
      </c>
      <c r="D80" s="532" t="s">
        <v>216</v>
      </c>
      <c r="E80" s="50" t="s">
        <v>52</v>
      </c>
      <c r="F80" s="535" t="str">
        <f>R.7NWRegionImpName4</f>
        <v xml:space="preserve"> </v>
      </c>
      <c r="G80" s="543">
        <f>R.7NWRegionImpHrs4</f>
        <v>0</v>
      </c>
      <c r="H80" s="544">
        <f>Table3[[#This Row],[Hrs Rank]]</f>
        <v>0</v>
      </c>
      <c r="I80" s="534">
        <f t="shared" si="8"/>
        <v>0</v>
      </c>
      <c r="J80" s="534">
        <f t="shared" si="9"/>
        <v>0</v>
      </c>
      <c r="K80" s="546"/>
      <c r="L80" s="546"/>
      <c r="M80" s="547" t="s">
        <v>232</v>
      </c>
      <c r="N80" s="547" t="s">
        <v>232</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DESLGRNT</v>
      </c>
      <c r="C81" s="50" t="s">
        <v>264</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232</v>
      </c>
      <c r="N81" s="547" t="s">
        <v>232</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DESLGRNT</v>
      </c>
      <c r="C82" s="50" t="s">
        <v>264</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232</v>
      </c>
      <c r="N82" s="547" t="s">
        <v>232</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DESLGRNT</v>
      </c>
      <c r="C83" s="50" t="s">
        <v>264</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232</v>
      </c>
      <c r="N83" s="547" t="s">
        <v>232</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DESLGRNT</v>
      </c>
      <c r="C84" s="50" t="s">
        <v>264</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232</v>
      </c>
      <c r="N84" s="547" t="s">
        <v>232</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DESLGRNT</v>
      </c>
      <c r="C85" s="50" t="s">
        <v>264</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232</v>
      </c>
      <c r="N85" s="547" t="s">
        <v>232</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DESLGRNT</v>
      </c>
      <c r="C86" s="50" t="s">
        <v>264</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232</v>
      </c>
      <c r="N86" s="547" t="s">
        <v>232</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DESLGRNT</v>
      </c>
      <c r="C87" s="50" t="s">
        <v>264</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232</v>
      </c>
      <c r="N87" s="547" t="s">
        <v>232</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DESLGRNT</v>
      </c>
      <c r="C88" s="50" t="s">
        <v>264</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232</v>
      </c>
      <c r="N88" s="547" t="s">
        <v>232</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DESLGRNT</v>
      </c>
      <c r="C89" s="50" t="s">
        <v>264</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232</v>
      </c>
      <c r="N89" s="547" t="s">
        <v>232</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DESLGRNT</v>
      </c>
      <c r="C90" s="50" t="s">
        <v>264</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232</v>
      </c>
      <c r="N90" s="547" t="s">
        <v>232</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DESLGRNT</v>
      </c>
      <c r="C91" s="50" t="s">
        <v>264</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232</v>
      </c>
      <c r="N91" s="547" t="s">
        <v>232</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DESLGRNT</v>
      </c>
      <c r="C92" s="50" t="s">
        <v>264</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232</v>
      </c>
      <c r="N92" s="547" t="s">
        <v>232</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DESLGRNT</v>
      </c>
      <c r="C93" s="50" t="s">
        <v>264</v>
      </c>
      <c r="D93" s="532" t="s">
        <v>144</v>
      </c>
      <c r="E93" s="50" t="s">
        <v>52</v>
      </c>
      <c r="F93" s="535">
        <f>R.8AcctImpName1</f>
        <v>0</v>
      </c>
      <c r="G93" s="543">
        <f>R.8AcctImpHrs1</f>
        <v>0</v>
      </c>
      <c r="H93" s="544">
        <f>Table3[[#This Row],[Hrs Rank]]</f>
        <v>0</v>
      </c>
      <c r="I93" s="534">
        <f t="shared" si="8"/>
        <v>0</v>
      </c>
      <c r="J93" s="534">
        <f t="shared" si="9"/>
        <v>0</v>
      </c>
      <c r="K93" s="546"/>
      <c r="L93" s="546"/>
      <c r="M93" s="547" t="s">
        <v>232</v>
      </c>
      <c r="N93" s="547" t="s">
        <v>232</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DESLGRNT</v>
      </c>
      <c r="C94" s="50" t="s">
        <v>264</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232</v>
      </c>
      <c r="N94" s="547" t="s">
        <v>232</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DESLGRNT</v>
      </c>
      <c r="C95" s="50" t="s">
        <v>264</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232</v>
      </c>
      <c r="N95" s="547" t="s">
        <v>232</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DESLGRNT</v>
      </c>
      <c r="C96" s="50" t="s">
        <v>264</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232</v>
      </c>
      <c r="N96" s="547" t="s">
        <v>232</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DESLGRNT</v>
      </c>
      <c r="C97" s="50" t="s">
        <v>264</v>
      </c>
      <c r="D97" s="532" t="s">
        <v>145</v>
      </c>
      <c r="E97" s="50" t="s">
        <v>53</v>
      </c>
      <c r="F97" s="535">
        <f>R.8DContractDevName1</f>
        <v>0</v>
      </c>
      <c r="G97" s="543">
        <f>R.8DContractDevHrs1</f>
        <v>0</v>
      </c>
      <c r="H97" s="544">
        <f>Table3[[#This Row],[Hrs Rank]]</f>
        <v>0</v>
      </c>
      <c r="I97" s="534">
        <f t="shared" si="8"/>
        <v>0</v>
      </c>
      <c r="J97" s="534">
        <f t="shared" si="9"/>
        <v>0</v>
      </c>
      <c r="K97" s="546"/>
      <c r="L97" s="546"/>
      <c r="M97" s="547" t="s">
        <v>232</v>
      </c>
      <c r="N97" s="547" t="s">
        <v>232</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DESLGRNT</v>
      </c>
      <c r="C98" s="50" t="s">
        <v>264</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232</v>
      </c>
      <c r="N98" s="547" t="s">
        <v>232</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DESLGRNT</v>
      </c>
      <c r="C99" s="50" t="s">
        <v>264</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232</v>
      </c>
      <c r="N99" s="547" t="s">
        <v>232</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DESLGRNT</v>
      </c>
      <c r="C100" s="50" t="s">
        <v>264</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232</v>
      </c>
      <c r="N100" s="547" t="s">
        <v>232</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DESLGRNT</v>
      </c>
      <c r="C101" s="50" t="s">
        <v>264</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232</v>
      </c>
      <c r="N101" s="547" t="s">
        <v>232</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DESLGRNT</v>
      </c>
      <c r="C102" s="50" t="s">
        <v>264</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232</v>
      </c>
      <c r="N102" s="547" t="s">
        <v>232</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DESLGRNT</v>
      </c>
      <c r="C103" s="50" t="s">
        <v>264</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232</v>
      </c>
      <c r="N103" s="547" t="s">
        <v>232</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DESLGRNT</v>
      </c>
      <c r="C104" s="50" t="s">
        <v>264</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232</v>
      </c>
      <c r="N104" s="547" t="s">
        <v>232</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DESLGRNT</v>
      </c>
      <c r="C105" s="50" t="s">
        <v>265</v>
      </c>
      <c r="D105" s="532" t="s">
        <v>275</v>
      </c>
      <c r="E105" s="50" t="s">
        <v>53</v>
      </c>
      <c r="F105" s="535" t="str">
        <f>R.9ComStrategyDevName1</f>
        <v>William Knight</v>
      </c>
      <c r="G105" s="543">
        <f>R.9ComStrategyDevHrs1</f>
        <v>0</v>
      </c>
      <c r="H105" s="544">
        <f>Table3[[#This Row],[Hrs Rank]]</f>
        <v>0</v>
      </c>
      <c r="I105" s="534">
        <f t="shared" si="8"/>
        <v>0</v>
      </c>
      <c r="J105" s="534">
        <f t="shared" si="9"/>
        <v>0</v>
      </c>
      <c r="K105" s="546"/>
      <c r="L105" s="546"/>
      <c r="M105" s="547" t="s">
        <v>232</v>
      </c>
      <c r="N105" s="547" t="s">
        <v>232</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DESLGRNT</v>
      </c>
      <c r="C106" s="50" t="s">
        <v>265</v>
      </c>
      <c r="D106" s="532" t="s">
        <v>275</v>
      </c>
      <c r="E106" s="50" t="s">
        <v>53</v>
      </c>
      <c r="F106" s="535" t="str">
        <f>R.9ComStrategyDevName2</f>
        <v>Joanie Stevens-Schwenger (editor)</v>
      </c>
      <c r="G106" s="543">
        <f>R.9ComStrategyDevHrs2</f>
        <v>0</v>
      </c>
      <c r="H106" s="544">
        <f>Table3[[#This Row],[Hrs Rank]]</f>
        <v>0</v>
      </c>
      <c r="I106" s="534">
        <f t="shared" si="8"/>
        <v>0</v>
      </c>
      <c r="J106" s="534">
        <f t="shared" si="9"/>
        <v>0</v>
      </c>
      <c r="K106" s="546"/>
      <c r="L106" s="546"/>
      <c r="M106" s="547" t="s">
        <v>232</v>
      </c>
      <c r="N106" s="547" t="s">
        <v>232</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DESLGRNT</v>
      </c>
      <c r="C107" s="50" t="s">
        <v>265</v>
      </c>
      <c r="D107" s="532" t="s">
        <v>275</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232</v>
      </c>
      <c r="N107" s="547" t="s">
        <v>232</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DESLGRNT</v>
      </c>
      <c r="C108" s="50" t="s">
        <v>265</v>
      </c>
      <c r="D108" s="532" t="s">
        <v>275</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232</v>
      </c>
      <c r="N108" s="547" t="s">
        <v>232</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DESLGRNT</v>
      </c>
      <c r="C109" s="50" t="s">
        <v>265</v>
      </c>
      <c r="D109" s="532" t="s">
        <v>275</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232</v>
      </c>
      <c r="N109" s="547" t="s">
        <v>232</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DESLGRNT</v>
      </c>
      <c r="C110" s="50" t="s">
        <v>265</v>
      </c>
      <c r="D110" s="532" t="s">
        <v>275</v>
      </c>
      <c r="E110" s="50" t="s">
        <v>52</v>
      </c>
      <c r="F110" s="535">
        <f>R.9ComStrategyImpName2</f>
        <v>0</v>
      </c>
      <c r="G110" s="543">
        <f>R.9ComStrategyImpHrs2</f>
        <v>0</v>
      </c>
      <c r="H110" s="544">
        <f>Table3[[#This Row],[Hrs Rank]]</f>
        <v>0</v>
      </c>
      <c r="I110" s="534">
        <f t="shared" si="8"/>
        <v>0</v>
      </c>
      <c r="J110" s="534">
        <f t="shared" si="9"/>
        <v>0</v>
      </c>
      <c r="K110" s="546"/>
      <c r="L110" s="546"/>
      <c r="M110" s="547" t="s">
        <v>232</v>
      </c>
      <c r="N110" s="547" t="s">
        <v>232</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DESLGRNT</v>
      </c>
      <c r="C111" s="50" t="s">
        <v>265</v>
      </c>
      <c r="D111" s="532" t="s">
        <v>275</v>
      </c>
      <c r="E111" s="50" t="s">
        <v>52</v>
      </c>
      <c r="F111" s="535">
        <f>R.9ComStrategyImpName3</f>
        <v>0</v>
      </c>
      <c r="G111" s="543">
        <f>R.9ComStrategyImpHrs3</f>
        <v>0</v>
      </c>
      <c r="H111" s="544">
        <f>Table3[[#This Row],[Hrs Rank]]</f>
        <v>0</v>
      </c>
      <c r="I111" s="534">
        <f t="shared" si="8"/>
        <v>0</v>
      </c>
      <c r="J111" s="534">
        <f t="shared" si="9"/>
        <v>0</v>
      </c>
      <c r="K111" s="546"/>
      <c r="L111" s="546"/>
      <c r="M111" s="547" t="s">
        <v>232</v>
      </c>
      <c r="N111" s="547" t="s">
        <v>232</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DESLGRNT</v>
      </c>
      <c r="C112" s="50" t="s">
        <v>265</v>
      </c>
      <c r="D112" s="532" t="s">
        <v>275</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232</v>
      </c>
      <c r="N112" s="547" t="s">
        <v>232</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DESLGRNT</v>
      </c>
      <c r="C113" s="50" t="s">
        <v>265</v>
      </c>
      <c r="D113" s="532" t="s">
        <v>276</v>
      </c>
      <c r="E113" s="50" t="s">
        <v>53</v>
      </c>
      <c r="F113" s="535">
        <f>R.9PRDevName1</f>
        <v>0</v>
      </c>
      <c r="G113" s="543">
        <f>R.9PRDevHrs1</f>
        <v>0</v>
      </c>
      <c r="H113" s="544">
        <f>Table3[[#This Row],[Hrs Rank]]</f>
        <v>0</v>
      </c>
      <c r="I113" s="534">
        <f t="shared" si="8"/>
        <v>0</v>
      </c>
      <c r="J113" s="534">
        <f t="shared" si="9"/>
        <v>0</v>
      </c>
      <c r="K113" s="546"/>
      <c r="L113" s="546"/>
      <c r="M113" s="547" t="s">
        <v>232</v>
      </c>
      <c r="N113" s="547" t="s">
        <v>232</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DESLGRNT</v>
      </c>
      <c r="C114" s="50" t="s">
        <v>265</v>
      </c>
      <c r="D114" s="532" t="s">
        <v>276</v>
      </c>
      <c r="E114" s="50" t="s">
        <v>53</v>
      </c>
      <c r="F114" s="535" t="str">
        <f>R.9PRDevName2</f>
        <v xml:space="preserve"> </v>
      </c>
      <c r="G114" s="543">
        <f>R.9PRDevHrs2</f>
        <v>0</v>
      </c>
      <c r="H114" s="544">
        <f>Table3[[#This Row],[Hrs Rank]]</f>
        <v>0</v>
      </c>
      <c r="I114" s="534">
        <f t="shared" si="8"/>
        <v>0</v>
      </c>
      <c r="J114" s="534">
        <f t="shared" si="9"/>
        <v>0</v>
      </c>
      <c r="K114" s="546"/>
      <c r="L114" s="546"/>
      <c r="M114" s="547" t="s">
        <v>232</v>
      </c>
      <c r="N114" s="547" t="s">
        <v>232</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DESLGRNT</v>
      </c>
      <c r="C115" s="50" t="s">
        <v>265</v>
      </c>
      <c r="D115" s="532" t="s">
        <v>276</v>
      </c>
      <c r="E115" s="50" t="s">
        <v>53</v>
      </c>
      <c r="F115" s="535" t="str">
        <f>R.9PRDevName3</f>
        <v xml:space="preserve"> </v>
      </c>
      <c r="G115" s="543">
        <f>R.9PRDevHrs3</f>
        <v>0</v>
      </c>
      <c r="H115" s="544">
        <f>Table3[[#This Row],[Hrs Rank]]</f>
        <v>0</v>
      </c>
      <c r="I115" s="534">
        <f t="shared" si="8"/>
        <v>0</v>
      </c>
      <c r="J115" s="534">
        <f t="shared" si="9"/>
        <v>0</v>
      </c>
      <c r="K115" s="546"/>
      <c r="L115" s="546"/>
      <c r="M115" s="547" t="s">
        <v>232</v>
      </c>
      <c r="N115" s="547" t="s">
        <v>232</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DESLGRNT</v>
      </c>
      <c r="C116" s="50" t="s">
        <v>265</v>
      </c>
      <c r="D116" s="532" t="s">
        <v>276</v>
      </c>
      <c r="E116" s="50" t="s">
        <v>53</v>
      </c>
      <c r="F116" s="535" t="str">
        <f>R.9PRDevName4</f>
        <v xml:space="preserve"> </v>
      </c>
      <c r="G116" s="543">
        <f>R.9PRDevHrs4</f>
        <v>0</v>
      </c>
      <c r="H116" s="544">
        <f>Table3[[#This Row],[Hrs Rank]]</f>
        <v>0</v>
      </c>
      <c r="I116" s="534">
        <f t="shared" si="8"/>
        <v>0</v>
      </c>
      <c r="J116" s="534">
        <f t="shared" si="9"/>
        <v>0</v>
      </c>
      <c r="K116" s="546"/>
      <c r="L116" s="546"/>
      <c r="M116" s="547" t="s">
        <v>232</v>
      </c>
      <c r="N116" s="547" t="s">
        <v>232</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DESLGRNT</v>
      </c>
      <c r="C117" s="50" t="s">
        <v>265</v>
      </c>
      <c r="D117" s="532" t="s">
        <v>276</v>
      </c>
      <c r="E117" s="50" t="s">
        <v>52</v>
      </c>
      <c r="F117" s="535" t="str">
        <f>R.9PRImpName1</f>
        <v>William Knight</v>
      </c>
      <c r="G117" s="543">
        <f>R.9PRImpHrs1</f>
        <v>0</v>
      </c>
      <c r="H117" s="544">
        <f>Table3[[#This Row],[Hrs Rank]]</f>
        <v>0</v>
      </c>
      <c r="I117" s="534">
        <f t="shared" si="8"/>
        <v>0</v>
      </c>
      <c r="J117" s="534">
        <f t="shared" si="9"/>
        <v>0</v>
      </c>
      <c r="K117" s="546"/>
      <c r="L117" s="546"/>
      <c r="M117" s="547" t="s">
        <v>232</v>
      </c>
      <c r="N117" s="547" t="s">
        <v>232</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DESLGRNT</v>
      </c>
      <c r="C118" s="50" t="s">
        <v>265</v>
      </c>
      <c r="D118" s="532" t="s">
        <v>276</v>
      </c>
      <c r="E118" s="50" t="s">
        <v>52</v>
      </c>
      <c r="F118" s="535" t="str">
        <f>R.9PRImpName2</f>
        <v xml:space="preserve"> </v>
      </c>
      <c r="G118" s="543">
        <f>R.9PRImpHrs2</f>
        <v>0</v>
      </c>
      <c r="H118" s="544">
        <f>Table3[[#This Row],[Hrs Rank]]</f>
        <v>0</v>
      </c>
      <c r="I118" s="534">
        <f t="shared" si="8"/>
        <v>0</v>
      </c>
      <c r="J118" s="534">
        <f t="shared" si="9"/>
        <v>0</v>
      </c>
      <c r="K118" s="546"/>
      <c r="L118" s="546"/>
      <c r="M118" s="547" t="s">
        <v>232</v>
      </c>
      <c r="N118" s="547" t="s">
        <v>232</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DESLGRNT</v>
      </c>
      <c r="C119" s="50" t="s">
        <v>265</v>
      </c>
      <c r="D119" s="532" t="s">
        <v>276</v>
      </c>
      <c r="E119" s="50" t="s">
        <v>52</v>
      </c>
      <c r="F119" s="535" t="str">
        <f>R.9PRImpName3</f>
        <v xml:space="preserve"> </v>
      </c>
      <c r="G119" s="543">
        <f>R.9PRImpHrs3</f>
        <v>0</v>
      </c>
      <c r="H119" s="544">
        <f>Table3[[#This Row],[Hrs Rank]]</f>
        <v>0</v>
      </c>
      <c r="I119" s="534">
        <f t="shared" si="8"/>
        <v>0</v>
      </c>
      <c r="J119" s="534">
        <f t="shared" si="9"/>
        <v>0</v>
      </c>
      <c r="K119" s="546"/>
      <c r="L119" s="546"/>
      <c r="M119" s="547" t="s">
        <v>232</v>
      </c>
      <c r="N119" s="547" t="s">
        <v>232</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DESLGRNT</v>
      </c>
      <c r="C120" s="50" t="s">
        <v>265</v>
      </c>
      <c r="D120" s="532" t="s">
        <v>276</v>
      </c>
      <c r="E120" s="50" t="s">
        <v>52</v>
      </c>
      <c r="F120" s="535" t="str">
        <f>R.9PRImpName4</f>
        <v xml:space="preserve"> </v>
      </c>
      <c r="G120" s="543">
        <f>R.9PRImpHrs4</f>
        <v>0</v>
      </c>
      <c r="H120" s="544">
        <f>Table3[[#This Row],[Hrs Rank]]</f>
        <v>0</v>
      </c>
      <c r="I120" s="534">
        <f t="shared" si="8"/>
        <v>0</v>
      </c>
      <c r="J120" s="534">
        <f t="shared" si="9"/>
        <v>0</v>
      </c>
      <c r="K120" s="546"/>
      <c r="L120" s="546"/>
      <c r="M120" s="547" t="s">
        <v>232</v>
      </c>
      <c r="N120" s="547" t="s">
        <v>232</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DESLGRNT</v>
      </c>
      <c r="C121" s="50" t="s">
        <v>265</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232</v>
      </c>
      <c r="N121" s="547" t="s">
        <v>232</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DESLGRNT</v>
      </c>
      <c r="C122" s="50" t="s">
        <v>265</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232</v>
      </c>
      <c r="N122" s="547" t="s">
        <v>232</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DESLGRNT</v>
      </c>
      <c r="C123" s="50" t="s">
        <v>265</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232</v>
      </c>
      <c r="N123" s="547" t="s">
        <v>232</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DESLGRNT</v>
      </c>
      <c r="C124" s="50" t="s">
        <v>265</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232</v>
      </c>
      <c r="N124" s="547" t="s">
        <v>232</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DESLGRNT</v>
      </c>
      <c r="C125" s="50" t="s">
        <v>265</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232</v>
      </c>
      <c r="N125" s="547" t="s">
        <v>232</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DESLGRNT</v>
      </c>
      <c r="C126" s="50" t="s">
        <v>265</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232</v>
      </c>
      <c r="N126" s="547" t="s">
        <v>232</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DESLGRNT</v>
      </c>
      <c r="C127" s="50" t="s">
        <v>265</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232</v>
      </c>
      <c r="N127" s="547" t="s">
        <v>232</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DESLGRNT</v>
      </c>
      <c r="C128" s="50" t="s">
        <v>265</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232</v>
      </c>
      <c r="N128" s="547" t="s">
        <v>232</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DESLGRNT</v>
      </c>
      <c r="C129" s="50" t="s">
        <v>266</v>
      </c>
      <c r="D129" s="532" t="s">
        <v>142</v>
      </c>
      <c r="E129" s="50" t="s">
        <v>53</v>
      </c>
      <c r="F129" s="535">
        <f>R.10HRDevName1</f>
        <v>0</v>
      </c>
      <c r="G129" s="543">
        <f>R.10HRDevHrs1</f>
        <v>0</v>
      </c>
      <c r="H129" s="544">
        <f>Table3[[#This Row],[Hrs Rank]]</f>
        <v>0</v>
      </c>
      <c r="I129" s="534">
        <f t="shared" si="8"/>
        <v>0</v>
      </c>
      <c r="J129" s="534">
        <f t="shared" si="9"/>
        <v>0</v>
      </c>
      <c r="K129" s="546"/>
      <c r="L129" s="546"/>
      <c r="M129" s="547" t="s">
        <v>232</v>
      </c>
      <c r="N129" s="547" t="s">
        <v>232</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DESLGRNT</v>
      </c>
      <c r="C130" s="50" t="s">
        <v>266</v>
      </c>
      <c r="D130" s="532" t="s">
        <v>142</v>
      </c>
      <c r="E130" s="50" t="s">
        <v>53</v>
      </c>
      <c r="F130" s="535">
        <f>R.10HRDevName2</f>
        <v>0</v>
      </c>
      <c r="G130" s="543">
        <f>R.10HRDevHrs2</f>
        <v>0</v>
      </c>
      <c r="H130" s="544">
        <f>Table3[[#This Row],[Hrs Rank]]</f>
        <v>0</v>
      </c>
      <c r="I130" s="534">
        <f t="shared" si="8"/>
        <v>0</v>
      </c>
      <c r="J130" s="534">
        <f t="shared" si="9"/>
        <v>0</v>
      </c>
      <c r="K130" s="546"/>
      <c r="L130" s="546"/>
      <c r="M130" s="547" t="s">
        <v>232</v>
      </c>
      <c r="N130" s="547" t="s">
        <v>232</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DESLGRNT</v>
      </c>
      <c r="C131" s="50" t="s">
        <v>266</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232</v>
      </c>
      <c r="N131" s="547" t="s">
        <v>232</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DESLGRNT</v>
      </c>
      <c r="C132" s="50" t="s">
        <v>266</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232</v>
      </c>
      <c r="N132" s="547" t="s">
        <v>232</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DESLGRNT</v>
      </c>
      <c r="C133" s="50" t="s">
        <v>266</v>
      </c>
      <c r="D133" s="532" t="s">
        <v>142</v>
      </c>
      <c r="E133" s="50" t="s">
        <v>52</v>
      </c>
      <c r="F133" s="535">
        <f>R.10HRImpName1</f>
        <v>0</v>
      </c>
      <c r="G133" s="543">
        <f>R.10HRImpHrs1</f>
        <v>0</v>
      </c>
      <c r="H133" s="544">
        <f>Table3[[#This Row],[Hrs Rank]]</f>
        <v>0</v>
      </c>
      <c r="I133" s="534">
        <f t="shared" si="14"/>
        <v>0</v>
      </c>
      <c r="J133" s="534">
        <f t="shared" si="15"/>
        <v>0</v>
      </c>
      <c r="K133" s="546"/>
      <c r="L133" s="546"/>
      <c r="M133" s="547" t="s">
        <v>232</v>
      </c>
      <c r="N133" s="547" t="s">
        <v>232</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DESLGRNT</v>
      </c>
      <c r="C134" s="50" t="s">
        <v>266</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232</v>
      </c>
      <c r="N134" s="547" t="s">
        <v>232</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DESLGRNT</v>
      </c>
      <c r="C135" s="50" t="s">
        <v>266</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232</v>
      </c>
      <c r="N135" s="547" t="s">
        <v>232</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DESLGRNT</v>
      </c>
      <c r="C136" s="50" t="s">
        <v>266</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232</v>
      </c>
      <c r="N136" s="547" t="s">
        <v>232</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DESLGRNT</v>
      </c>
      <c r="C137" s="50" t="s">
        <v>266</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232</v>
      </c>
      <c r="N137" s="547" t="s">
        <v>232</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DESLGRNT</v>
      </c>
      <c r="C138" s="50" t="s">
        <v>266</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232</v>
      </c>
      <c r="N138" s="547" t="s">
        <v>232</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DESLGRNT</v>
      </c>
      <c r="C139" s="50" t="s">
        <v>266</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232</v>
      </c>
      <c r="N139" s="547" t="s">
        <v>232</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DESLGRNT</v>
      </c>
      <c r="C140" s="50" t="s">
        <v>266</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232</v>
      </c>
      <c r="N140" s="547" t="s">
        <v>232</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DESLGRNT</v>
      </c>
      <c r="C141" s="50" t="s">
        <v>266</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232</v>
      </c>
      <c r="N141" s="547" t="s">
        <v>232</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DESLGRNT</v>
      </c>
      <c r="C142" s="50" t="s">
        <v>266</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232</v>
      </c>
      <c r="N142" s="547" t="s">
        <v>232</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DESLGRNT</v>
      </c>
      <c r="C143" s="50" t="s">
        <v>266</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232</v>
      </c>
      <c r="N143" s="547" t="s">
        <v>232</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DESLGRNT</v>
      </c>
      <c r="C144" s="50" t="s">
        <v>266</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232</v>
      </c>
      <c r="N144" s="547" t="s">
        <v>232</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DESLGRNT</v>
      </c>
      <c r="C145" s="50" t="s">
        <v>266</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232</v>
      </c>
      <c r="N145" s="547" t="s">
        <v>232</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DESLGRNT</v>
      </c>
      <c r="C146" s="50" t="s">
        <v>266</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232</v>
      </c>
      <c r="N146" s="547" t="s">
        <v>232</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DESLGRNT</v>
      </c>
      <c r="C147" s="50" t="s">
        <v>266</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232</v>
      </c>
      <c r="N147" s="547" t="s">
        <v>232</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DESLGRNT</v>
      </c>
      <c r="C148" s="50" t="s">
        <v>266</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232</v>
      </c>
      <c r="N148" s="547" t="s">
        <v>232</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DESLGRNT</v>
      </c>
      <c r="C149" s="50" t="s">
        <v>266</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232</v>
      </c>
      <c r="N149" s="547" t="s">
        <v>232</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DESLGRNT</v>
      </c>
      <c r="C150" s="50" t="s">
        <v>266</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232</v>
      </c>
      <c r="N150" s="547" t="s">
        <v>232</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DESLGRNT</v>
      </c>
      <c r="C151" s="50" t="s">
        <v>266</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232</v>
      </c>
      <c r="N151" s="547" t="s">
        <v>232</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DESLGRNT</v>
      </c>
      <c r="C152" s="50" t="s">
        <v>266</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232</v>
      </c>
      <c r="N152" s="547" t="s">
        <v>232</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DESLGRNT</v>
      </c>
      <c r="C153" s="50" t="s">
        <v>266</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232</v>
      </c>
      <c r="N153" s="547" t="s">
        <v>232</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DESLGRNT</v>
      </c>
      <c r="C154" s="50" t="s">
        <v>266</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232</v>
      </c>
      <c r="N154" s="547" t="s">
        <v>232</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DESLGRNT</v>
      </c>
      <c r="C155" s="50" t="s">
        <v>266</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232</v>
      </c>
      <c r="N155" s="547" t="s">
        <v>232</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DESLGRNT</v>
      </c>
      <c r="C156" s="50" t="s">
        <v>266</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232</v>
      </c>
      <c r="N156" s="547" t="s">
        <v>232</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DESLGRNT</v>
      </c>
      <c r="C157" s="50" t="s">
        <v>266</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232</v>
      </c>
      <c r="N157" s="547" t="s">
        <v>232</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DESLGRNT</v>
      </c>
      <c r="C158" s="50" t="s">
        <v>266</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232</v>
      </c>
      <c r="N158" s="547" t="s">
        <v>232</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DESLGRNT</v>
      </c>
      <c r="C159" s="50" t="s">
        <v>266</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232</v>
      </c>
      <c r="N159" s="547" t="s">
        <v>232</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DESLGRNT</v>
      </c>
      <c r="C160" s="50" t="s">
        <v>266</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232</v>
      </c>
      <c r="N160" s="547" t="s">
        <v>232</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DESLGRNT</v>
      </c>
      <c r="C161" s="50" t="s">
        <v>267</v>
      </c>
      <c r="D161" s="532" t="s">
        <v>277</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232</v>
      </c>
      <c r="N161" s="547" t="s">
        <v>232</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DESLGRNT</v>
      </c>
      <c r="C162" s="50" t="s">
        <v>267</v>
      </c>
      <c r="D162" s="532" t="s">
        <v>277</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232</v>
      </c>
      <c r="N162" s="547" t="s">
        <v>232</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DESLGRNT</v>
      </c>
      <c r="C163" s="50" t="s">
        <v>267</v>
      </c>
      <c r="D163" s="532" t="s">
        <v>277</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232</v>
      </c>
      <c r="N163" s="547" t="s">
        <v>232</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DESLGRNT</v>
      </c>
      <c r="C164" s="50" t="s">
        <v>267</v>
      </c>
      <c r="D164" s="532" t="s">
        <v>277</v>
      </c>
      <c r="E164" s="50" t="s">
        <v>53</v>
      </c>
      <c r="F164" s="535">
        <f>R.11DivTechDevName4</f>
        <v>0</v>
      </c>
      <c r="G164" s="543">
        <f>R.11DivTechDevHrs4</f>
        <v>0</v>
      </c>
      <c r="H164" s="544">
        <f>Table3[[#This Row],[Hrs Rank]]</f>
        <v>0</v>
      </c>
      <c r="I164" s="534">
        <f t="shared" si="14"/>
        <v>0</v>
      </c>
      <c r="J164" s="534">
        <f t="shared" si="15"/>
        <v>0</v>
      </c>
      <c r="K164" s="551"/>
      <c r="L164" s="551"/>
      <c r="M164" s="547" t="s">
        <v>232</v>
      </c>
      <c r="N164" s="547" t="s">
        <v>232</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DESLGRNT</v>
      </c>
      <c r="C165" s="50" t="s">
        <v>267</v>
      </c>
      <c r="D165" s="532" t="s">
        <v>277</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232</v>
      </c>
      <c r="N165" s="547" t="s">
        <v>232</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DESLGRNT</v>
      </c>
      <c r="C166" s="50" t="s">
        <v>267</v>
      </c>
      <c r="D166" s="532" t="s">
        <v>277</v>
      </c>
      <c r="E166" s="50" t="s">
        <v>52</v>
      </c>
      <c r="F166" s="535">
        <f>R.11DivTechImpName2</f>
        <v>0</v>
      </c>
      <c r="G166" s="543">
        <f>R.11DivTechImpHrs2</f>
        <v>0</v>
      </c>
      <c r="H166" s="544">
        <f>Table3[[#This Row],[Hrs Rank]]</f>
        <v>0</v>
      </c>
      <c r="I166" s="534">
        <f t="shared" si="14"/>
        <v>0</v>
      </c>
      <c r="J166" s="534">
        <f t="shared" si="15"/>
        <v>0</v>
      </c>
      <c r="K166" s="551"/>
      <c r="L166" s="551"/>
      <c r="M166" s="547" t="s">
        <v>232</v>
      </c>
      <c r="N166" s="547" t="s">
        <v>232</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DESLGRNT</v>
      </c>
      <c r="C167" s="50" t="s">
        <v>267</v>
      </c>
      <c r="D167" s="532" t="s">
        <v>277</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232</v>
      </c>
      <c r="N167" s="547" t="s">
        <v>232</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DESLGRNT</v>
      </c>
      <c r="C168" s="50" t="s">
        <v>267</v>
      </c>
      <c r="D168" s="532" t="s">
        <v>277</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232</v>
      </c>
      <c r="N168" s="547" t="s">
        <v>232</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DESLGRNT</v>
      </c>
      <c r="C169" s="50" t="s">
        <v>267</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232</v>
      </c>
      <c r="N169" s="547" t="s">
        <v>232</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DESLGRNT</v>
      </c>
      <c r="C170" s="50" t="s">
        <v>267</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232</v>
      </c>
      <c r="N170" s="547" t="s">
        <v>232</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DESLGRNT</v>
      </c>
      <c r="C171" s="50" t="s">
        <v>267</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232</v>
      </c>
      <c r="N171" s="547" t="s">
        <v>232</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DESLGRNT</v>
      </c>
      <c r="C172" s="50" t="s">
        <v>267</v>
      </c>
      <c r="D172" s="532" t="s">
        <v>137</v>
      </c>
      <c r="E172" s="50" t="s">
        <v>53</v>
      </c>
      <c r="F172" s="535">
        <f>R.11ITDevName4</f>
        <v>0</v>
      </c>
      <c r="G172" s="543">
        <f>R.11ITDevHrs4</f>
        <v>0</v>
      </c>
      <c r="H172" s="544">
        <f>Table3[[#This Row],[Hrs Rank]]</f>
        <v>0</v>
      </c>
      <c r="I172" s="534">
        <f t="shared" si="14"/>
        <v>0</v>
      </c>
      <c r="J172" s="534">
        <f t="shared" si="15"/>
        <v>0</v>
      </c>
      <c r="K172" s="551"/>
      <c r="L172" s="551"/>
      <c r="M172" s="547" t="s">
        <v>232</v>
      </c>
      <c r="N172" s="547" t="s">
        <v>232</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DESLGRNT</v>
      </c>
      <c r="C173" s="50" t="s">
        <v>267</v>
      </c>
      <c r="D173" s="532" t="s">
        <v>137</v>
      </c>
      <c r="E173" s="50" t="s">
        <v>52</v>
      </c>
      <c r="F173" s="535">
        <f>R.11ITImpName1</f>
        <v>0</v>
      </c>
      <c r="G173" s="543">
        <f>R.11ITImpHrs1</f>
        <v>0</v>
      </c>
      <c r="H173" s="544">
        <f>Table3[[#This Row],[Hrs Rank]]</f>
        <v>0</v>
      </c>
      <c r="I173" s="534">
        <f t="shared" si="14"/>
        <v>0</v>
      </c>
      <c r="J173" s="534">
        <f t="shared" si="15"/>
        <v>0</v>
      </c>
      <c r="K173" s="551"/>
      <c r="L173" s="551"/>
      <c r="M173" s="547" t="s">
        <v>232</v>
      </c>
      <c r="N173" s="547" t="s">
        <v>232</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DESLGRNT</v>
      </c>
      <c r="C174" s="50" t="s">
        <v>267</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232</v>
      </c>
      <c r="N174" s="547" t="s">
        <v>232</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DESLGRNT</v>
      </c>
      <c r="C175" s="50" t="s">
        <v>267</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232</v>
      </c>
      <c r="N175" s="547" t="s">
        <v>232</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DESLGRNT</v>
      </c>
      <c r="C176" s="50" t="s">
        <v>267</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232</v>
      </c>
      <c r="N176" s="547" t="s">
        <v>232</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DESLGRNT</v>
      </c>
      <c r="C177" s="50" t="s">
        <v>267</v>
      </c>
      <c r="D177" s="532" t="s">
        <v>278</v>
      </c>
      <c r="E177" s="50" t="s">
        <v>53</v>
      </c>
      <c r="F177" s="535">
        <f>R.11BSDDevName1</f>
        <v>0</v>
      </c>
      <c r="G177" s="543">
        <f>R.11BSDDevHrs1</f>
        <v>0</v>
      </c>
      <c r="H177" s="544">
        <f>Table3[[#This Row],[Hrs Rank]]</f>
        <v>0</v>
      </c>
      <c r="I177" s="534">
        <f t="shared" si="14"/>
        <v>0</v>
      </c>
      <c r="J177" s="534">
        <f t="shared" si="15"/>
        <v>0</v>
      </c>
      <c r="K177" s="551"/>
      <c r="L177" s="551"/>
      <c r="M177" s="547" t="s">
        <v>232</v>
      </c>
      <c r="N177" s="547" t="s">
        <v>232</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DESLGRNT</v>
      </c>
      <c r="C178" s="50" t="s">
        <v>267</v>
      </c>
      <c r="D178" s="532" t="s">
        <v>278</v>
      </c>
      <c r="E178" s="50" t="s">
        <v>53</v>
      </c>
      <c r="F178" s="535" t="str">
        <f>R.11BSDDevName2</f>
        <v xml:space="preserve"> </v>
      </c>
      <c r="G178" s="543">
        <f>R.11BSDDevHrs2</f>
        <v>0</v>
      </c>
      <c r="H178" s="544">
        <f>Table3[[#This Row],[Hrs Rank]]</f>
        <v>0</v>
      </c>
      <c r="I178" s="534">
        <f t="shared" si="14"/>
        <v>0</v>
      </c>
      <c r="J178" s="534">
        <f t="shared" si="15"/>
        <v>0</v>
      </c>
      <c r="K178" s="551"/>
      <c r="L178" s="551"/>
      <c r="M178" s="547" t="s">
        <v>232</v>
      </c>
      <c r="N178" s="547" t="s">
        <v>232</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DESLGRNT</v>
      </c>
      <c r="C179" s="50" t="s">
        <v>267</v>
      </c>
      <c r="D179" s="532" t="s">
        <v>278</v>
      </c>
      <c r="E179" s="50" t="s">
        <v>53</v>
      </c>
      <c r="F179" s="535" t="str">
        <f>R.11BSDDevName3</f>
        <v xml:space="preserve"> </v>
      </c>
      <c r="G179" s="543">
        <f>R.11BSDDevHrs3</f>
        <v>0</v>
      </c>
      <c r="H179" s="544">
        <f>Table3[[#This Row],[Hrs Rank]]</f>
        <v>0</v>
      </c>
      <c r="I179" s="534">
        <f t="shared" si="14"/>
        <v>0</v>
      </c>
      <c r="J179" s="534">
        <f t="shared" si="15"/>
        <v>0</v>
      </c>
      <c r="K179" s="551"/>
      <c r="L179" s="551"/>
      <c r="M179" s="547" t="s">
        <v>232</v>
      </c>
      <c r="N179" s="547" t="s">
        <v>232</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DESLGRNT</v>
      </c>
      <c r="C180" s="50" t="s">
        <v>267</v>
      </c>
      <c r="D180" s="532" t="s">
        <v>278</v>
      </c>
      <c r="E180" s="50" t="s">
        <v>53</v>
      </c>
      <c r="F180" s="535" t="str">
        <f>R.11BSDDevName4</f>
        <v xml:space="preserve"> </v>
      </c>
      <c r="G180" s="543">
        <f>R.11BSDDevHrs4</f>
        <v>0</v>
      </c>
      <c r="H180" s="544">
        <f>Table3[[#This Row],[Hrs Rank]]</f>
        <v>0</v>
      </c>
      <c r="I180" s="534">
        <f t="shared" si="14"/>
        <v>0</v>
      </c>
      <c r="J180" s="534">
        <f t="shared" si="15"/>
        <v>0</v>
      </c>
      <c r="K180" s="551"/>
      <c r="L180" s="551"/>
      <c r="M180" s="547" t="s">
        <v>232</v>
      </c>
      <c r="N180" s="547" t="s">
        <v>232</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DESLGRNT</v>
      </c>
      <c r="C181" s="50" t="s">
        <v>267</v>
      </c>
      <c r="D181" s="532" t="s">
        <v>278</v>
      </c>
      <c r="E181" s="50" t="s">
        <v>52</v>
      </c>
      <c r="F181" s="535">
        <f>R.11BSDImpName1</f>
        <v>0</v>
      </c>
      <c r="G181" s="543">
        <f>R.11BSDImpHrs1</f>
        <v>0</v>
      </c>
      <c r="H181" s="544">
        <f>Table3[[#This Row],[Hrs Rank]]</f>
        <v>0</v>
      </c>
      <c r="I181" s="534">
        <f t="shared" si="14"/>
        <v>0</v>
      </c>
      <c r="J181" s="534">
        <f t="shared" si="15"/>
        <v>0</v>
      </c>
      <c r="K181" s="551"/>
      <c r="L181" s="551"/>
      <c r="M181" s="547" t="s">
        <v>232</v>
      </c>
      <c r="N181" s="547" t="s">
        <v>232</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DESLGRNT</v>
      </c>
      <c r="C182" s="50" t="s">
        <v>267</v>
      </c>
      <c r="D182" s="532" t="s">
        <v>278</v>
      </c>
      <c r="E182" s="50" t="s">
        <v>52</v>
      </c>
      <c r="F182" s="535" t="str">
        <f>R.11BSDImpName2</f>
        <v xml:space="preserve"> </v>
      </c>
      <c r="G182" s="543">
        <f>R.11BSDImpHrs2</f>
        <v>0</v>
      </c>
      <c r="H182" s="544">
        <f>Table3[[#This Row],[Hrs Rank]]</f>
        <v>0</v>
      </c>
      <c r="I182" s="534">
        <f t="shared" si="14"/>
        <v>0</v>
      </c>
      <c r="J182" s="534">
        <f t="shared" si="15"/>
        <v>0</v>
      </c>
      <c r="K182" s="551"/>
      <c r="L182" s="551"/>
      <c r="M182" s="547" t="s">
        <v>232</v>
      </c>
      <c r="N182" s="547" t="s">
        <v>232</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DESLGRNT</v>
      </c>
      <c r="C183" s="50" t="s">
        <v>267</v>
      </c>
      <c r="D183" s="532" t="s">
        <v>278</v>
      </c>
      <c r="E183" s="50" t="s">
        <v>52</v>
      </c>
      <c r="F183" s="535" t="str">
        <f>R.11BSDImpName3</f>
        <v xml:space="preserve"> </v>
      </c>
      <c r="G183" s="543">
        <f>R.11BSDImpHrs3</f>
        <v>0</v>
      </c>
      <c r="H183" s="544">
        <f>Table3[[#This Row],[Hrs Rank]]</f>
        <v>0</v>
      </c>
      <c r="I183" s="534">
        <f t="shared" si="14"/>
        <v>0</v>
      </c>
      <c r="J183" s="534">
        <f t="shared" si="15"/>
        <v>0</v>
      </c>
      <c r="K183" s="551"/>
      <c r="L183" s="551"/>
      <c r="M183" s="547" t="s">
        <v>232</v>
      </c>
      <c r="N183" s="547" t="s">
        <v>232</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DESLGRNT</v>
      </c>
      <c r="C184" s="50" t="s">
        <v>267</v>
      </c>
      <c r="D184" s="532" t="s">
        <v>278</v>
      </c>
      <c r="E184" s="50" t="s">
        <v>52</v>
      </c>
      <c r="F184" s="535" t="str">
        <f>R.11BSDImpName4</f>
        <v xml:space="preserve"> </v>
      </c>
      <c r="G184" s="543">
        <f>R.11BSDImpHrs4</f>
        <v>0</v>
      </c>
      <c r="H184" s="544">
        <f>Table3[[#This Row],[Hrs Rank]]</f>
        <v>0</v>
      </c>
      <c r="I184" s="534">
        <f t="shared" si="14"/>
        <v>0</v>
      </c>
      <c r="J184" s="534">
        <f t="shared" si="15"/>
        <v>0</v>
      </c>
      <c r="K184" s="551"/>
      <c r="L184" s="551"/>
      <c r="M184" s="547" t="s">
        <v>232</v>
      </c>
      <c r="N184" s="547" t="s">
        <v>232</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DESLGRNT</v>
      </c>
      <c r="C185" s="50" t="s">
        <v>268</v>
      </c>
      <c r="D185" s="532" t="s">
        <v>152</v>
      </c>
      <c r="E185" s="50" t="s">
        <v>53</v>
      </c>
      <c r="F185" s="535">
        <f>R.12OCEDevName1</f>
        <v>0</v>
      </c>
      <c r="G185" s="543">
        <f>R.12OCEDevHrs1</f>
        <v>0</v>
      </c>
      <c r="H185" s="544">
        <f>Table3[[#This Row],[Hrs Rank]]</f>
        <v>0</v>
      </c>
      <c r="I185" s="534">
        <f t="shared" si="14"/>
        <v>0</v>
      </c>
      <c r="J185" s="534">
        <f t="shared" si="15"/>
        <v>0</v>
      </c>
      <c r="K185" s="551"/>
      <c r="L185" s="551"/>
      <c r="M185" s="547" t="s">
        <v>232</v>
      </c>
      <c r="N185" s="547" t="s">
        <v>232</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DESLGRNT</v>
      </c>
      <c r="C186" s="50" t="s">
        <v>268</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232</v>
      </c>
      <c r="N186" s="547" t="s">
        <v>232</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DESLGRNT</v>
      </c>
      <c r="C187" s="50" t="s">
        <v>268</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232</v>
      </c>
      <c r="N187" s="547" t="s">
        <v>232</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DESLGRNT</v>
      </c>
      <c r="C188" s="50" t="s">
        <v>268</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232</v>
      </c>
      <c r="N188" s="547" t="s">
        <v>232</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DESLGRNT</v>
      </c>
      <c r="C189" s="50" t="s">
        <v>268</v>
      </c>
      <c r="D189" s="532" t="s">
        <v>152</v>
      </c>
      <c r="E189" s="50" t="s">
        <v>52</v>
      </c>
      <c r="F189" s="535">
        <f>R.12OCEImpName1</f>
        <v>0</v>
      </c>
      <c r="G189" s="543">
        <f>R.12OCEImpHrs1</f>
        <v>0</v>
      </c>
      <c r="H189" s="544">
        <f>Table3[[#This Row],[Hrs Rank]]</f>
        <v>0</v>
      </c>
      <c r="I189" s="534">
        <f t="shared" si="14"/>
        <v>0</v>
      </c>
      <c r="J189" s="534">
        <f t="shared" si="15"/>
        <v>0</v>
      </c>
      <c r="K189" s="551"/>
      <c r="L189" s="551"/>
      <c r="M189" s="547" t="s">
        <v>232</v>
      </c>
      <c r="N189" s="547" t="s">
        <v>232</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DESLGRNT</v>
      </c>
      <c r="C190" s="50" t="s">
        <v>268</v>
      </c>
      <c r="D190" s="532" t="s">
        <v>152</v>
      </c>
      <c r="E190" s="50" t="s">
        <v>52</v>
      </c>
      <c r="F190" s="535">
        <f>R.12OCEImpName2</f>
        <v>0</v>
      </c>
      <c r="G190" s="543">
        <f>R.12OCEImpHrs2</f>
        <v>0</v>
      </c>
      <c r="H190" s="544">
        <f>Table3[[#This Row],[Hrs Rank]]</f>
        <v>0</v>
      </c>
      <c r="I190" s="534">
        <f t="shared" si="14"/>
        <v>0</v>
      </c>
      <c r="J190" s="534">
        <f t="shared" si="15"/>
        <v>0</v>
      </c>
      <c r="K190" s="551"/>
      <c r="L190" s="551"/>
      <c r="M190" s="547" t="s">
        <v>232</v>
      </c>
      <c r="N190" s="547" t="s">
        <v>232</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DESLGRNT</v>
      </c>
      <c r="C191" s="50" t="s">
        <v>268</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232</v>
      </c>
      <c r="N191" s="547" t="s">
        <v>232</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DESLGRNT</v>
      </c>
      <c r="C192" s="50" t="s">
        <v>268</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232</v>
      </c>
      <c r="N192" s="547" t="s">
        <v>232</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DESLGRNT</v>
      </c>
      <c r="C193" s="50" t="s">
        <v>269</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232</v>
      </c>
      <c r="N193" s="547" t="s">
        <v>232</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DESLGRNT</v>
      </c>
      <c r="C194" s="50" t="s">
        <v>269</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232</v>
      </c>
      <c r="N194" s="547" t="s">
        <v>232</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DESLGRNT</v>
      </c>
      <c r="C195" s="50" t="s">
        <v>269</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232</v>
      </c>
      <c r="N195" s="547" t="s">
        <v>232</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DESLGRNT</v>
      </c>
      <c r="C196" s="50" t="s">
        <v>269</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232</v>
      </c>
      <c r="N196" s="547" t="s">
        <v>232</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DESLGRNT</v>
      </c>
      <c r="C197" s="50" t="s">
        <v>269</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232</v>
      </c>
      <c r="N197" s="547" t="s">
        <v>232</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DESLGRNT</v>
      </c>
      <c r="C198" s="50" t="s">
        <v>269</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232</v>
      </c>
      <c r="N198" s="547" t="s">
        <v>232</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DESLGRNT</v>
      </c>
      <c r="C199" s="50" t="s">
        <v>269</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232</v>
      </c>
      <c r="N199" s="547" t="s">
        <v>232</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DESLGRNT</v>
      </c>
      <c r="C200" s="50" t="s">
        <v>269</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232</v>
      </c>
      <c r="N200" s="547" t="s">
        <v>232</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DESLGRNT</v>
      </c>
      <c r="C201" s="50" t="s">
        <v>269</v>
      </c>
      <c r="D201" s="532" t="s">
        <v>129</v>
      </c>
      <c r="E201" s="50" t="s">
        <v>53</v>
      </c>
      <c r="F201" s="535">
        <f>R.13TestDevName1</f>
        <v>0</v>
      </c>
      <c r="G201" s="543">
        <f>R.13TestDevHrs1</f>
        <v>0</v>
      </c>
      <c r="H201" s="544">
        <f>Table3[[#This Row],[Hrs Rank]]</f>
        <v>0</v>
      </c>
      <c r="I201" s="534">
        <f t="shared" si="22"/>
        <v>0</v>
      </c>
      <c r="J201" s="534">
        <f t="shared" si="23"/>
        <v>0</v>
      </c>
      <c r="K201" s="551"/>
      <c r="L201" s="551"/>
      <c r="M201" s="547" t="s">
        <v>232</v>
      </c>
      <c r="N201" s="547" t="s">
        <v>232</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DESLGRNT</v>
      </c>
      <c r="C202" s="50" t="s">
        <v>269</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232</v>
      </c>
      <c r="N202" s="547" t="s">
        <v>232</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DESLGRNT</v>
      </c>
      <c r="C203" s="50" t="s">
        <v>269</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232</v>
      </c>
      <c r="N203" s="547" t="s">
        <v>232</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DESLGRNT</v>
      </c>
      <c r="C204" s="50" t="s">
        <v>269</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232</v>
      </c>
      <c r="N204" s="547" t="s">
        <v>232</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DESLGRNT</v>
      </c>
      <c r="C205" s="50" t="s">
        <v>269</v>
      </c>
      <c r="D205" s="532" t="s">
        <v>129</v>
      </c>
      <c r="E205" s="50" t="s">
        <v>52</v>
      </c>
      <c r="F205" s="535">
        <f>R.13TestImpName1</f>
        <v>0</v>
      </c>
      <c r="G205" s="543">
        <f>R.13TestImpHrs1</f>
        <v>0</v>
      </c>
      <c r="H205" s="544">
        <f>Table3[[#This Row],[Hrs Rank]]</f>
        <v>0</v>
      </c>
      <c r="I205" s="534">
        <f t="shared" si="22"/>
        <v>0</v>
      </c>
      <c r="J205" s="534">
        <f t="shared" si="23"/>
        <v>0</v>
      </c>
      <c r="K205" s="551"/>
      <c r="L205" s="551"/>
      <c r="M205" s="547" t="s">
        <v>232</v>
      </c>
      <c r="N205" s="547" t="s">
        <v>232</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DESLGRNT</v>
      </c>
      <c r="C206" s="50" t="s">
        <v>269</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232</v>
      </c>
      <c r="N206" s="547" t="s">
        <v>232</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DESLGRNT</v>
      </c>
      <c r="C207" s="50" t="s">
        <v>269</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232</v>
      </c>
      <c r="N207" s="547" t="s">
        <v>232</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DESLGRNT</v>
      </c>
      <c r="C208" s="50" t="s">
        <v>269</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232</v>
      </c>
      <c r="N208" s="547" t="s">
        <v>232</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DESLGRNT</v>
      </c>
      <c r="C209" s="50" t="s">
        <v>269</v>
      </c>
      <c r="D209" s="532" t="s">
        <v>135</v>
      </c>
      <c r="E209" s="50" t="s">
        <v>53</v>
      </c>
      <c r="F209" s="535">
        <f>R.13QADevName1</f>
        <v>0</v>
      </c>
      <c r="G209" s="543">
        <f>R.13QADevHrs1</f>
        <v>0</v>
      </c>
      <c r="H209" s="544">
        <f>Table3[[#This Row],[Hrs Rank]]</f>
        <v>0</v>
      </c>
      <c r="I209" s="534">
        <f t="shared" si="22"/>
        <v>0</v>
      </c>
      <c r="J209" s="534">
        <f t="shared" si="23"/>
        <v>0</v>
      </c>
      <c r="K209" s="551"/>
      <c r="L209" s="551"/>
      <c r="M209" s="547" t="s">
        <v>232</v>
      </c>
      <c r="N209" s="547" t="s">
        <v>232</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DESLGRNT</v>
      </c>
      <c r="C210" s="50" t="s">
        <v>269</v>
      </c>
      <c r="D210" s="532" t="s">
        <v>135</v>
      </c>
      <c r="E210" s="50" t="s">
        <v>53</v>
      </c>
      <c r="F210" s="535">
        <f>R.13QADevName2</f>
        <v>0</v>
      </c>
      <c r="G210" s="543">
        <f>R.13QADevHrs2</f>
        <v>0</v>
      </c>
      <c r="H210" s="544">
        <f>Table3[[#This Row],[Hrs Rank]]</f>
        <v>0</v>
      </c>
      <c r="I210" s="534">
        <f t="shared" si="22"/>
        <v>0</v>
      </c>
      <c r="J210" s="534">
        <f t="shared" si="23"/>
        <v>0</v>
      </c>
      <c r="K210" s="551"/>
      <c r="L210" s="551"/>
      <c r="M210" s="547" t="s">
        <v>232</v>
      </c>
      <c r="N210" s="547" t="s">
        <v>232</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DESLGRNT</v>
      </c>
      <c r="C211" s="50" t="s">
        <v>269</v>
      </c>
      <c r="D211" s="532" t="s">
        <v>135</v>
      </c>
      <c r="E211" s="50" t="s">
        <v>53</v>
      </c>
      <c r="F211" s="535">
        <f>R.13QADevName3</f>
        <v>0</v>
      </c>
      <c r="G211" s="543">
        <f>R.13QADevHrs3</f>
        <v>0</v>
      </c>
      <c r="H211" s="544">
        <f>Table3[[#This Row],[Hrs Rank]]</f>
        <v>0</v>
      </c>
      <c r="I211" s="534">
        <f t="shared" si="22"/>
        <v>0</v>
      </c>
      <c r="J211" s="534">
        <f t="shared" si="23"/>
        <v>0</v>
      </c>
      <c r="K211" s="551"/>
      <c r="L211" s="551"/>
      <c r="M211" s="547" t="s">
        <v>232</v>
      </c>
      <c r="N211" s="547" t="s">
        <v>232</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DESLGRNT</v>
      </c>
      <c r="C212" s="50" t="s">
        <v>269</v>
      </c>
      <c r="D212" s="532" t="s">
        <v>135</v>
      </c>
      <c r="E212" s="50" t="s">
        <v>53</v>
      </c>
      <c r="F212" s="535">
        <f>R.13QADevName4</f>
        <v>0</v>
      </c>
      <c r="G212" s="543">
        <f>R.13QADevHrs4</f>
        <v>0</v>
      </c>
      <c r="H212" s="544">
        <f>Table3[[#This Row],[Hrs Rank]]</f>
        <v>0</v>
      </c>
      <c r="I212" s="534">
        <f t="shared" si="22"/>
        <v>0</v>
      </c>
      <c r="J212" s="534">
        <f t="shared" si="23"/>
        <v>0</v>
      </c>
      <c r="K212" s="551"/>
      <c r="L212" s="551"/>
      <c r="M212" s="547" t="s">
        <v>232</v>
      </c>
      <c r="N212" s="547" t="s">
        <v>232</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DESLGRNT</v>
      </c>
      <c r="C213" s="50" t="s">
        <v>269</v>
      </c>
      <c r="D213" s="532" t="s">
        <v>135</v>
      </c>
      <c r="E213" s="50" t="s">
        <v>52</v>
      </c>
      <c r="F213" s="535">
        <f>R.13QAImpName1</f>
        <v>0</v>
      </c>
      <c r="G213" s="543">
        <f>R.13QAImpHrs1</f>
        <v>0</v>
      </c>
      <c r="H213" s="544">
        <f>Table3[[#This Row],[Hrs Rank]]</f>
        <v>0</v>
      </c>
      <c r="I213" s="534">
        <f t="shared" si="22"/>
        <v>0</v>
      </c>
      <c r="J213" s="534">
        <f t="shared" si="23"/>
        <v>0</v>
      </c>
      <c r="K213" s="551"/>
      <c r="L213" s="551"/>
      <c r="M213" s="547" t="s">
        <v>232</v>
      </c>
      <c r="N213" s="547" t="s">
        <v>232</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DESLGRNT</v>
      </c>
      <c r="C214" s="50" t="s">
        <v>269</v>
      </c>
      <c r="D214" s="532" t="s">
        <v>135</v>
      </c>
      <c r="E214" s="50" t="s">
        <v>52</v>
      </c>
      <c r="F214" s="535">
        <f>R.13QAImpName2</f>
        <v>0</v>
      </c>
      <c r="G214" s="543">
        <f>R.13QAImpHrs2</f>
        <v>0</v>
      </c>
      <c r="H214" s="544">
        <f>Table3[[#This Row],[Hrs Rank]]</f>
        <v>0</v>
      </c>
      <c r="I214" s="534">
        <f t="shared" si="22"/>
        <v>0</v>
      </c>
      <c r="J214" s="534">
        <f t="shared" si="23"/>
        <v>0</v>
      </c>
      <c r="K214" s="551"/>
      <c r="L214" s="551"/>
      <c r="M214" s="547" t="s">
        <v>232</v>
      </c>
      <c r="N214" s="547" t="s">
        <v>232</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DESLGRNT</v>
      </c>
      <c r="C215" s="50" t="s">
        <v>269</v>
      </c>
      <c r="D215" s="532" t="s">
        <v>135</v>
      </c>
      <c r="E215" s="50" t="s">
        <v>52</v>
      </c>
      <c r="F215" s="535">
        <f>R.13QAImpName3</f>
        <v>0</v>
      </c>
      <c r="G215" s="543">
        <f>R.13QAImpHrs3</f>
        <v>0</v>
      </c>
      <c r="H215" s="544">
        <f>Table3[[#This Row],[Hrs Rank]]</f>
        <v>0</v>
      </c>
      <c r="I215" s="534">
        <f t="shared" si="22"/>
        <v>0</v>
      </c>
      <c r="J215" s="534">
        <f t="shared" si="23"/>
        <v>0</v>
      </c>
      <c r="K215" s="551"/>
      <c r="L215" s="551"/>
      <c r="M215" s="547" t="s">
        <v>232</v>
      </c>
      <c r="N215" s="547" t="s">
        <v>232</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DESLGRNT</v>
      </c>
      <c r="C216" s="50" t="s">
        <v>269</v>
      </c>
      <c r="D216" s="532" t="s">
        <v>135</v>
      </c>
      <c r="E216" s="50" t="s">
        <v>52</v>
      </c>
      <c r="F216" s="535">
        <f>R.13QAImpName4</f>
        <v>0</v>
      </c>
      <c r="G216" s="543">
        <f>R.13QAImpHrs4</f>
        <v>0</v>
      </c>
      <c r="H216" s="544">
        <f>Table3[[#This Row],[Hrs Rank]]</f>
        <v>0</v>
      </c>
      <c r="I216" s="534">
        <f t="shared" si="22"/>
        <v>0</v>
      </c>
      <c r="J216" s="534">
        <f t="shared" si="23"/>
        <v>0</v>
      </c>
      <c r="K216" s="551"/>
      <c r="L216" s="551"/>
      <c r="M216" s="547" t="s">
        <v>232</v>
      </c>
      <c r="N216" s="547" t="s">
        <v>232</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DESLGRNT</v>
      </c>
      <c r="C217" s="50" t="s">
        <v>270</v>
      </c>
      <c r="D217" s="532" t="s">
        <v>130</v>
      </c>
      <c r="E217" s="50" t="s">
        <v>53</v>
      </c>
      <c r="F217" s="535">
        <f>R.14LRAPADevName1</f>
        <v>0</v>
      </c>
      <c r="G217" s="543">
        <v>0</v>
      </c>
      <c r="H217" s="544">
        <f>Table3[[#This Row],[Hrs Rank]]</f>
        <v>0</v>
      </c>
      <c r="I217" s="534">
        <f t="shared" si="22"/>
        <v>0</v>
      </c>
      <c r="J217" s="534">
        <f t="shared" si="23"/>
        <v>0</v>
      </c>
      <c r="K217" s="551"/>
      <c r="L217" s="551"/>
      <c r="M217" s="547" t="s">
        <v>232</v>
      </c>
      <c r="N217" s="547" t="s">
        <v>232</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DESLGRNT</v>
      </c>
      <c r="C218" s="50" t="s">
        <v>270</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232</v>
      </c>
      <c r="N218" s="547" t="s">
        <v>232</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DESLGRNT</v>
      </c>
      <c r="C219" s="50" t="s">
        <v>270</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232</v>
      </c>
      <c r="N219" s="547" t="s">
        <v>232</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DESLGRNT</v>
      </c>
      <c r="C220" s="50" t="s">
        <v>270</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232</v>
      </c>
      <c r="N220" s="547" t="s">
        <v>232</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DESLGRNT</v>
      </c>
      <c r="C221" s="50" t="s">
        <v>270</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232</v>
      </c>
      <c r="N221" s="547" t="s">
        <v>232</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DESLGRNT</v>
      </c>
      <c r="C222" s="50" t="s">
        <v>270</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232</v>
      </c>
      <c r="N222" s="547" t="s">
        <v>232</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DESLGRNT</v>
      </c>
      <c r="C223" s="50" t="s">
        <v>270</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232</v>
      </c>
      <c r="N223" s="547" t="s">
        <v>232</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DESLGRNT</v>
      </c>
      <c r="C224" s="50" t="s">
        <v>270</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232</v>
      </c>
      <c r="N224" s="547" t="s">
        <v>232</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DESLGRNT</v>
      </c>
      <c r="C225" s="50" t="s">
        <v>270</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232</v>
      </c>
      <c r="N225" s="547" t="s">
        <v>232</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DESLGRNT</v>
      </c>
      <c r="C226" s="50" t="s">
        <v>270</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232</v>
      </c>
      <c r="N226" s="547" t="s">
        <v>232</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DESLGRNT</v>
      </c>
      <c r="C227" s="50" t="s">
        <v>270</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232</v>
      </c>
      <c r="N227" s="547" t="s">
        <v>232</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DESLGRNT</v>
      </c>
      <c r="C228" s="50" t="s">
        <v>270</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232</v>
      </c>
      <c r="N228" s="547" t="s">
        <v>232</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DESLGRNT</v>
      </c>
      <c r="C229" s="50" t="s">
        <v>270</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232</v>
      </c>
      <c r="N229" s="547" t="s">
        <v>232</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DESLGRNT</v>
      </c>
      <c r="C230" s="50" t="s">
        <v>270</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232</v>
      </c>
      <c r="N230" s="547" t="s">
        <v>232</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DESLGRNT</v>
      </c>
      <c r="C231" s="50" t="s">
        <v>270</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232</v>
      </c>
      <c r="N231" s="547" t="s">
        <v>232</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DESLGRNT</v>
      </c>
      <c r="C232" s="50" t="s">
        <v>270</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232</v>
      </c>
      <c r="N232" s="547" t="s">
        <v>232</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DESLGRNT</v>
      </c>
      <c r="C233" s="50" t="s">
        <v>270</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232</v>
      </c>
      <c r="N233" s="547" t="s">
        <v>232</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DESLGRNT</v>
      </c>
      <c r="C234" s="50" t="s">
        <v>270</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232</v>
      </c>
      <c r="N234" s="547" t="s">
        <v>232</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DESLGRNT</v>
      </c>
      <c r="C235" s="50" t="s">
        <v>270</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232</v>
      </c>
      <c r="N235" s="547" t="s">
        <v>232</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DESLGRNT</v>
      </c>
      <c r="C236" s="50" t="s">
        <v>270</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232</v>
      </c>
      <c r="N236" s="547" t="s">
        <v>232</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DESLGRNT</v>
      </c>
      <c r="C237" s="50" t="s">
        <v>270</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232</v>
      </c>
      <c r="N237" s="547" t="s">
        <v>232</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DESLGRNT</v>
      </c>
      <c r="C238" s="50" t="s">
        <v>270</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232</v>
      </c>
      <c r="N238" s="547" t="s">
        <v>232</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DESLGRNT</v>
      </c>
      <c r="C239" s="50" t="s">
        <v>270</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232</v>
      </c>
      <c r="N239" s="547" t="s">
        <v>232</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DESLGRNT</v>
      </c>
      <c r="C240" s="50" t="s">
        <v>270</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232</v>
      </c>
      <c r="N240" s="547" t="s">
        <v>232</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DESLGRNT</v>
      </c>
      <c r="C241" s="50" t="s">
        <v>270</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232</v>
      </c>
      <c r="N241" s="547" t="s">
        <v>232</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DESLGRNT</v>
      </c>
      <c r="C242" s="50" t="s">
        <v>270</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232</v>
      </c>
      <c r="N242" s="547" t="s">
        <v>232</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DESLGRNT</v>
      </c>
      <c r="C243" s="50" t="s">
        <v>270</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232</v>
      </c>
      <c r="N243" s="547" t="s">
        <v>232</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DESLGRNT</v>
      </c>
      <c r="C244" s="50" t="s">
        <v>270</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232</v>
      </c>
      <c r="N244" s="547" t="s">
        <v>232</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DESLGRNT</v>
      </c>
      <c r="C245" s="50" t="s">
        <v>270</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232</v>
      </c>
      <c r="N245" s="547" t="s">
        <v>232</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DESLGRNT</v>
      </c>
      <c r="C246" s="50" t="s">
        <v>270</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232</v>
      </c>
      <c r="N246" s="547" t="s">
        <v>232</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DESLGRNT</v>
      </c>
      <c r="C247" s="50" t="s">
        <v>270</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232</v>
      </c>
      <c r="N247" s="547" t="s">
        <v>232</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DESLGRNT</v>
      </c>
      <c r="C248" s="50" t="s">
        <v>270</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232</v>
      </c>
      <c r="N248" s="547" t="s">
        <v>232</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DESLGRNT</v>
      </c>
      <c r="C249" s="50" t="s">
        <v>270</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232</v>
      </c>
      <c r="N249" s="547" t="s">
        <v>232</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DESLGRNT</v>
      </c>
      <c r="C250" s="50" t="s">
        <v>270</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232</v>
      </c>
      <c r="N250" s="547" t="s">
        <v>232</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DESLGRNT</v>
      </c>
      <c r="C251" s="50" t="s">
        <v>270</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232</v>
      </c>
      <c r="N251" s="547" t="s">
        <v>232</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DESLGRNT</v>
      </c>
      <c r="C252" s="50" t="s">
        <v>270</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232</v>
      </c>
      <c r="N252" s="547" t="s">
        <v>232</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DESLGRNT</v>
      </c>
      <c r="C253" s="50" t="s">
        <v>270</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232</v>
      </c>
      <c r="N253" s="547" t="s">
        <v>232</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DESLGRNT</v>
      </c>
      <c r="C254" s="50" t="s">
        <v>270</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232</v>
      </c>
      <c r="N254" s="547" t="s">
        <v>232</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DESLGRNT</v>
      </c>
      <c r="C255" s="50" t="s">
        <v>270</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232</v>
      </c>
      <c r="N255" s="547" t="s">
        <v>232</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DESLGRNT</v>
      </c>
      <c r="C256" s="50" t="s">
        <v>270</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232</v>
      </c>
      <c r="N256" s="547" t="s">
        <v>232</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DESLGRNT</v>
      </c>
      <c r="C257" s="50" t="s">
        <v>270</v>
      </c>
      <c r="D257" s="532" t="s">
        <v>279</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232</v>
      </c>
      <c r="N257" s="547" t="s">
        <v>232</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DESLGRNT</v>
      </c>
      <c r="C258" s="50" t="s">
        <v>270</v>
      </c>
      <c r="D258" s="532" t="s">
        <v>279</v>
      </c>
      <c r="E258" s="50" t="s">
        <v>53</v>
      </c>
      <c r="F258" s="535" t="str">
        <f>R.14TribeDevName2</f>
        <v xml:space="preserve"> </v>
      </c>
      <c r="G258" s="543">
        <f>R.14TribeDevHrs2</f>
        <v>0</v>
      </c>
      <c r="H258" s="544">
        <f>Table3[[#This Row],[Hrs Rank]]</f>
        <v>0</v>
      </c>
      <c r="I258" s="534">
        <f t="shared" si="22"/>
        <v>0</v>
      </c>
      <c r="J258" s="534">
        <f t="shared" si="23"/>
        <v>0</v>
      </c>
      <c r="K258" s="551"/>
      <c r="L258" s="551"/>
      <c r="M258" s="547" t="s">
        <v>232</v>
      </c>
      <c r="N258" s="547" t="s">
        <v>232</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DESLGRNT</v>
      </c>
      <c r="C259" s="50" t="s">
        <v>270</v>
      </c>
      <c r="D259" s="532" t="s">
        <v>279</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232</v>
      </c>
      <c r="N259" s="547" t="s">
        <v>232</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DESLGRNT</v>
      </c>
      <c r="C260" s="50" t="s">
        <v>270</v>
      </c>
      <c r="D260" s="532" t="s">
        <v>279</v>
      </c>
      <c r="E260" s="50" t="s">
        <v>53</v>
      </c>
      <c r="F260" s="535" t="str">
        <f>R.14TribeDevName4</f>
        <v xml:space="preserve"> </v>
      </c>
      <c r="G260" s="543">
        <f>R.14TribeDevHrs4</f>
        <v>0</v>
      </c>
      <c r="H260" s="544">
        <f>Table3[[#This Row],[Hrs Rank]]</f>
        <v>0</v>
      </c>
      <c r="I260" s="534">
        <f t="shared" si="28"/>
        <v>0</v>
      </c>
      <c r="J260" s="534">
        <f t="shared" si="29"/>
        <v>0</v>
      </c>
      <c r="K260" s="551"/>
      <c r="L260" s="551"/>
      <c r="M260" s="547" t="s">
        <v>232</v>
      </c>
      <c r="N260" s="547" t="s">
        <v>232</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DESLGRNT</v>
      </c>
      <c r="C261" s="50" t="s">
        <v>270</v>
      </c>
      <c r="D261" s="532" t="s">
        <v>279</v>
      </c>
      <c r="E261" s="50" t="s">
        <v>52</v>
      </c>
      <c r="F261" s="535">
        <f>R.14TribeImpName1</f>
        <v>0</v>
      </c>
      <c r="G261" s="543">
        <f>R.14TribeImpHrs1</f>
        <v>0</v>
      </c>
      <c r="H261" s="544">
        <f>Table3[[#This Row],[Hrs Rank]]</f>
        <v>0</v>
      </c>
      <c r="I261" s="534">
        <f t="shared" si="28"/>
        <v>0</v>
      </c>
      <c r="J261" s="534">
        <f t="shared" si="29"/>
        <v>0</v>
      </c>
      <c r="K261" s="551"/>
      <c r="L261" s="551"/>
      <c r="M261" s="547" t="s">
        <v>232</v>
      </c>
      <c r="N261" s="547" t="s">
        <v>232</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DESLGRNT</v>
      </c>
      <c r="C262" s="50" t="s">
        <v>270</v>
      </c>
      <c r="D262" s="532" t="s">
        <v>279</v>
      </c>
      <c r="E262" s="50" t="s">
        <v>52</v>
      </c>
      <c r="F262" s="535" t="str">
        <f>R.14TribeImpName2</f>
        <v xml:space="preserve"> </v>
      </c>
      <c r="G262" s="543">
        <f>R.14TribeImpHrs2</f>
        <v>0</v>
      </c>
      <c r="H262" s="544">
        <f>Table3[[#This Row],[Hrs Rank]]</f>
        <v>0</v>
      </c>
      <c r="I262" s="534">
        <f t="shared" si="28"/>
        <v>0</v>
      </c>
      <c r="J262" s="534">
        <f t="shared" si="29"/>
        <v>0</v>
      </c>
      <c r="K262" s="551"/>
      <c r="L262" s="551"/>
      <c r="M262" s="547" t="s">
        <v>232</v>
      </c>
      <c r="N262" s="547" t="s">
        <v>232</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DESLGRNT</v>
      </c>
      <c r="C263" s="50" t="s">
        <v>270</v>
      </c>
      <c r="D263" s="532" t="s">
        <v>279</v>
      </c>
      <c r="E263" s="50" t="s">
        <v>52</v>
      </c>
      <c r="F263" s="535" t="str">
        <f>R.14TribeImpName3</f>
        <v xml:space="preserve"> </v>
      </c>
      <c r="G263" s="543">
        <f>R.14TribeImpHrs3</f>
        <v>0</v>
      </c>
      <c r="H263" s="544">
        <f>Table3[[#This Row],[Hrs Rank]]</f>
        <v>0</v>
      </c>
      <c r="I263" s="534">
        <f t="shared" si="28"/>
        <v>0</v>
      </c>
      <c r="J263" s="534">
        <f t="shared" si="29"/>
        <v>0</v>
      </c>
      <c r="K263" s="551"/>
      <c r="L263" s="551"/>
      <c r="M263" s="547" t="s">
        <v>232</v>
      </c>
      <c r="N263" s="547" t="s">
        <v>232</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DESLGRNT</v>
      </c>
      <c r="C264" s="50" t="s">
        <v>270</v>
      </c>
      <c r="D264" s="532" t="s">
        <v>279</v>
      </c>
      <c r="E264" s="50" t="s">
        <v>52</v>
      </c>
      <c r="F264" s="535" t="str">
        <f>R.14TribeImpName4</f>
        <v xml:space="preserve"> </v>
      </c>
      <c r="G264" s="543">
        <f>R.14TribeImpHrs4</f>
        <v>0</v>
      </c>
      <c r="H264" s="544">
        <f>Table3[[#This Row],[Hrs Rank]]</f>
        <v>0</v>
      </c>
      <c r="I264" s="534">
        <f t="shared" si="28"/>
        <v>0</v>
      </c>
      <c r="J264" s="534">
        <f t="shared" si="29"/>
        <v>0</v>
      </c>
      <c r="K264" s="551"/>
      <c r="L264" s="551"/>
      <c r="M264" s="547" t="s">
        <v>232</v>
      </c>
      <c r="N264" s="547" t="s">
        <v>232</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DESLGRNT</v>
      </c>
      <c r="C265" s="50" t="s">
        <v>271</v>
      </c>
      <c r="D265" s="532" t="str">
        <f>'15CustomParticipants'!D$9</f>
        <v>Enter custom role 1</v>
      </c>
      <c r="E265" s="50" t="s">
        <v>53</v>
      </c>
      <c r="F265" s="535" t="str">
        <f t="shared" ref="F265:F280" si="30">R.3PAname</f>
        <v>PA name</v>
      </c>
      <c r="G265" s="543"/>
      <c r="H265" s="544">
        <f>Table3[[#This Row],[Hrs Rank]]</f>
        <v>0</v>
      </c>
      <c r="I265" s="534">
        <f t="shared" si="28"/>
        <v>0</v>
      </c>
      <c r="J265" s="534">
        <f t="shared" si="29"/>
        <v>0</v>
      </c>
      <c r="K265" s="551"/>
      <c r="L265" s="551"/>
      <c r="M265" s="547" t="s">
        <v>232</v>
      </c>
      <c r="N265" s="547" t="s">
        <v>232</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DESLGRNT</v>
      </c>
      <c r="C266" s="50" t="s">
        <v>271</v>
      </c>
      <c r="D266" s="532" t="str">
        <f>'15CustomParticipants'!D$9</f>
        <v>Enter custom role 1</v>
      </c>
      <c r="E266" s="50" t="s">
        <v>53</v>
      </c>
      <c r="F266" s="535" t="str">
        <f t="shared" si="30"/>
        <v>PA name</v>
      </c>
      <c r="G266" s="543"/>
      <c r="H266" s="544">
        <f>Table3[[#This Row],[Hrs Rank]]</f>
        <v>0</v>
      </c>
      <c r="I266" s="534">
        <f t="shared" si="28"/>
        <v>0</v>
      </c>
      <c r="J266" s="534">
        <f t="shared" si="29"/>
        <v>0</v>
      </c>
      <c r="K266" s="551"/>
      <c r="L266" s="551"/>
      <c r="M266" s="547" t="s">
        <v>232</v>
      </c>
      <c r="N266" s="547" t="s">
        <v>232</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DESLGRNT</v>
      </c>
      <c r="C267" s="50" t="s">
        <v>271</v>
      </c>
      <c r="D267" s="532" t="str">
        <f>'15CustomParticipants'!D$9</f>
        <v>Enter custom role 1</v>
      </c>
      <c r="E267" s="50" t="s">
        <v>53</v>
      </c>
      <c r="F267" s="535" t="str">
        <f t="shared" si="30"/>
        <v>PA name</v>
      </c>
      <c r="G267" s="543"/>
      <c r="H267" s="544">
        <f>Table3[[#This Row],[Hrs Rank]]</f>
        <v>0</v>
      </c>
      <c r="I267" s="534">
        <f t="shared" si="28"/>
        <v>0</v>
      </c>
      <c r="J267" s="534">
        <f t="shared" si="29"/>
        <v>0</v>
      </c>
      <c r="K267" s="551"/>
      <c r="L267" s="551"/>
      <c r="M267" s="547" t="s">
        <v>232</v>
      </c>
      <c r="N267" s="547" t="s">
        <v>232</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DESLGRNT</v>
      </c>
      <c r="C268" s="50" t="s">
        <v>271</v>
      </c>
      <c r="D268" s="532" t="str">
        <f>'15CustomParticipants'!D$9</f>
        <v>Enter custom role 1</v>
      </c>
      <c r="E268" s="50" t="s">
        <v>53</v>
      </c>
      <c r="F268" s="535" t="str">
        <f t="shared" si="30"/>
        <v>PA name</v>
      </c>
      <c r="G268" s="543"/>
      <c r="H268" s="544">
        <f>Table3[[#This Row],[Hrs Rank]]</f>
        <v>0</v>
      </c>
      <c r="I268" s="534">
        <f t="shared" si="28"/>
        <v>0</v>
      </c>
      <c r="J268" s="534">
        <f t="shared" si="29"/>
        <v>0</v>
      </c>
      <c r="K268" s="551"/>
      <c r="L268" s="551"/>
      <c r="M268" s="547" t="s">
        <v>232</v>
      </c>
      <c r="N268" s="547" t="s">
        <v>232</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DESLGRNT</v>
      </c>
      <c r="C269" s="50" t="s">
        <v>271</v>
      </c>
      <c r="D269" s="532" t="str">
        <f>'15CustomParticipants'!D$9</f>
        <v>Enter custom role 1</v>
      </c>
      <c r="E269" s="50" t="s">
        <v>52</v>
      </c>
      <c r="F269" s="535" t="str">
        <f t="shared" si="30"/>
        <v>PA name</v>
      </c>
      <c r="G269" s="543"/>
      <c r="H269" s="544">
        <f>Table3[[#This Row],[Hrs Rank]]</f>
        <v>0</v>
      </c>
      <c r="I269" s="534">
        <f t="shared" si="28"/>
        <v>0</v>
      </c>
      <c r="J269" s="534">
        <f t="shared" si="29"/>
        <v>0</v>
      </c>
      <c r="K269" s="551"/>
      <c r="L269" s="551"/>
      <c r="M269" s="547" t="s">
        <v>232</v>
      </c>
      <c r="N269" s="547" t="s">
        <v>232</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DESLGRNT</v>
      </c>
      <c r="C270" s="50" t="s">
        <v>271</v>
      </c>
      <c r="D270" s="532" t="str">
        <f>'15CustomParticipants'!D$9</f>
        <v>Enter custom role 1</v>
      </c>
      <c r="E270" s="50" t="s">
        <v>52</v>
      </c>
      <c r="F270" s="535" t="str">
        <f t="shared" si="30"/>
        <v>PA name</v>
      </c>
      <c r="G270" s="543"/>
      <c r="H270" s="544">
        <f>Table3[[#This Row],[Hrs Rank]]</f>
        <v>0</v>
      </c>
      <c r="I270" s="534">
        <f t="shared" si="28"/>
        <v>0</v>
      </c>
      <c r="J270" s="534">
        <f t="shared" si="29"/>
        <v>0</v>
      </c>
      <c r="K270" s="551"/>
      <c r="L270" s="551"/>
      <c r="M270" s="547" t="s">
        <v>232</v>
      </c>
      <c r="N270" s="547" t="s">
        <v>232</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DESLGRNT</v>
      </c>
      <c r="C271" s="50" t="s">
        <v>271</v>
      </c>
      <c r="D271" s="532" t="str">
        <f>'15CustomParticipants'!D$9</f>
        <v>Enter custom role 1</v>
      </c>
      <c r="E271" s="50" t="s">
        <v>52</v>
      </c>
      <c r="F271" s="535" t="str">
        <f t="shared" si="30"/>
        <v>PA name</v>
      </c>
      <c r="G271" s="543"/>
      <c r="H271" s="544">
        <f>Table3[[#This Row],[Hrs Rank]]</f>
        <v>0</v>
      </c>
      <c r="I271" s="534">
        <f t="shared" si="28"/>
        <v>0</v>
      </c>
      <c r="J271" s="534">
        <f t="shared" si="29"/>
        <v>0</v>
      </c>
      <c r="K271" s="551"/>
      <c r="L271" s="551"/>
      <c r="M271" s="547" t="s">
        <v>232</v>
      </c>
      <c r="N271" s="547" t="s">
        <v>232</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DESLGRNT</v>
      </c>
      <c r="C272" s="50" t="s">
        <v>271</v>
      </c>
      <c r="D272" s="532" t="str">
        <f>'15CustomParticipants'!D$9</f>
        <v>Enter custom role 1</v>
      </c>
      <c r="E272" s="50" t="s">
        <v>52</v>
      </c>
      <c r="F272" s="535" t="str">
        <f t="shared" si="30"/>
        <v>PA name</v>
      </c>
      <c r="G272" s="543"/>
      <c r="H272" s="544">
        <f>Table3[[#This Row],[Hrs Rank]]</f>
        <v>0</v>
      </c>
      <c r="I272" s="534">
        <f t="shared" si="28"/>
        <v>0</v>
      </c>
      <c r="J272" s="534">
        <f t="shared" si="29"/>
        <v>0</v>
      </c>
      <c r="K272" s="551"/>
      <c r="L272" s="551"/>
      <c r="M272" s="547" t="s">
        <v>232</v>
      </c>
      <c r="N272" s="547" t="s">
        <v>232</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DESLGRNT</v>
      </c>
      <c r="C273" s="50" t="s">
        <v>271</v>
      </c>
      <c r="D273" s="532" t="str">
        <f>'15CustomParticipants'!D$25</f>
        <v>Enter custom role 2</v>
      </c>
      <c r="E273" s="50" t="s">
        <v>53</v>
      </c>
      <c r="F273" s="535" t="str">
        <f t="shared" si="30"/>
        <v>PA name</v>
      </c>
      <c r="G273" s="543"/>
      <c r="H273" s="544">
        <f>Table3[[#This Row],[Hrs Rank]]</f>
        <v>0</v>
      </c>
      <c r="I273" s="534">
        <f t="shared" si="28"/>
        <v>0</v>
      </c>
      <c r="J273" s="534">
        <f t="shared" si="29"/>
        <v>0</v>
      </c>
      <c r="K273" s="551"/>
      <c r="L273" s="551"/>
      <c r="M273" s="547" t="s">
        <v>232</v>
      </c>
      <c r="N273" s="547" t="s">
        <v>232</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DESLGRNT</v>
      </c>
      <c r="C274" s="50" t="s">
        <v>271</v>
      </c>
      <c r="D274" s="532" t="str">
        <f>'15CustomParticipants'!D$25</f>
        <v>Enter custom role 2</v>
      </c>
      <c r="E274" s="50" t="s">
        <v>53</v>
      </c>
      <c r="F274" s="535" t="str">
        <f t="shared" si="30"/>
        <v>PA name</v>
      </c>
      <c r="G274" s="543"/>
      <c r="H274" s="544">
        <f>Table3[[#This Row],[Hrs Rank]]</f>
        <v>0</v>
      </c>
      <c r="I274" s="534">
        <f t="shared" si="28"/>
        <v>0</v>
      </c>
      <c r="J274" s="534">
        <f t="shared" si="29"/>
        <v>0</v>
      </c>
      <c r="K274" s="551"/>
      <c r="L274" s="551"/>
      <c r="M274" s="547" t="s">
        <v>232</v>
      </c>
      <c r="N274" s="547" t="s">
        <v>232</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DESLGRNT</v>
      </c>
      <c r="C275" s="50" t="s">
        <v>271</v>
      </c>
      <c r="D275" s="532" t="str">
        <f>'15CustomParticipants'!D$25</f>
        <v>Enter custom role 2</v>
      </c>
      <c r="E275" s="50" t="s">
        <v>53</v>
      </c>
      <c r="F275" s="535" t="str">
        <f t="shared" si="30"/>
        <v>PA name</v>
      </c>
      <c r="G275" s="543"/>
      <c r="H275" s="544">
        <f>Table3[[#This Row],[Hrs Rank]]</f>
        <v>0</v>
      </c>
      <c r="I275" s="534">
        <f t="shared" si="28"/>
        <v>0</v>
      </c>
      <c r="J275" s="534">
        <f t="shared" si="29"/>
        <v>0</v>
      </c>
      <c r="K275" s="551"/>
      <c r="L275" s="551"/>
      <c r="M275" s="547" t="s">
        <v>232</v>
      </c>
      <c r="N275" s="547" t="s">
        <v>232</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DESLGRNT</v>
      </c>
      <c r="C276" s="50" t="s">
        <v>271</v>
      </c>
      <c r="D276" s="532" t="str">
        <f>'15CustomParticipants'!D$25</f>
        <v>Enter custom role 2</v>
      </c>
      <c r="E276" s="50" t="s">
        <v>53</v>
      </c>
      <c r="F276" s="535" t="str">
        <f t="shared" si="30"/>
        <v>PA name</v>
      </c>
      <c r="G276" s="543"/>
      <c r="H276" s="544">
        <f>Table3[[#This Row],[Hrs Rank]]</f>
        <v>0</v>
      </c>
      <c r="I276" s="534">
        <f t="shared" si="28"/>
        <v>0</v>
      </c>
      <c r="J276" s="534">
        <f t="shared" si="29"/>
        <v>0</v>
      </c>
      <c r="K276" s="551"/>
      <c r="L276" s="551"/>
      <c r="M276" s="547" t="s">
        <v>232</v>
      </c>
      <c r="N276" s="547" t="s">
        <v>232</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DESLGRNT</v>
      </c>
      <c r="C277" s="50" t="s">
        <v>271</v>
      </c>
      <c r="D277" s="532" t="str">
        <f>'15CustomParticipants'!D$25</f>
        <v>Enter custom role 2</v>
      </c>
      <c r="E277" s="50" t="s">
        <v>52</v>
      </c>
      <c r="F277" s="535" t="str">
        <f t="shared" si="30"/>
        <v>PA name</v>
      </c>
      <c r="G277" s="543"/>
      <c r="H277" s="544">
        <f>Table3[[#This Row],[Hrs Rank]]</f>
        <v>0</v>
      </c>
      <c r="I277" s="534">
        <f t="shared" si="28"/>
        <v>0</v>
      </c>
      <c r="J277" s="534">
        <f t="shared" si="29"/>
        <v>0</v>
      </c>
      <c r="K277" s="551"/>
      <c r="L277" s="551"/>
      <c r="M277" s="547" t="s">
        <v>232</v>
      </c>
      <c r="N277" s="547" t="s">
        <v>232</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DESLGRNT</v>
      </c>
      <c r="C278" s="50" t="s">
        <v>271</v>
      </c>
      <c r="D278" s="532" t="str">
        <f>'15CustomParticipants'!D$25</f>
        <v>Enter custom role 2</v>
      </c>
      <c r="E278" s="50" t="s">
        <v>52</v>
      </c>
      <c r="F278" s="535" t="str">
        <f t="shared" si="30"/>
        <v>PA name</v>
      </c>
      <c r="G278" s="543"/>
      <c r="H278" s="544">
        <f>Table3[[#This Row],[Hrs Rank]]</f>
        <v>0</v>
      </c>
      <c r="I278" s="534">
        <f t="shared" si="28"/>
        <v>0</v>
      </c>
      <c r="J278" s="534">
        <f t="shared" si="29"/>
        <v>0</v>
      </c>
      <c r="K278" s="551"/>
      <c r="L278" s="551"/>
      <c r="M278" s="547" t="s">
        <v>232</v>
      </c>
      <c r="N278" s="547" t="s">
        <v>232</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DESLGRNT</v>
      </c>
      <c r="C279" s="50" t="s">
        <v>271</v>
      </c>
      <c r="D279" s="532" t="str">
        <f>'15CustomParticipants'!D$25</f>
        <v>Enter custom role 2</v>
      </c>
      <c r="E279" s="50" t="s">
        <v>52</v>
      </c>
      <c r="F279" s="535" t="str">
        <f t="shared" si="30"/>
        <v>PA name</v>
      </c>
      <c r="G279" s="543"/>
      <c r="H279" s="544">
        <f>Table3[[#This Row],[Hrs Rank]]</f>
        <v>0</v>
      </c>
      <c r="I279" s="534">
        <f t="shared" si="28"/>
        <v>0</v>
      </c>
      <c r="J279" s="534">
        <f t="shared" si="29"/>
        <v>0</v>
      </c>
      <c r="K279" s="551"/>
      <c r="L279" s="551"/>
      <c r="M279" s="547" t="s">
        <v>232</v>
      </c>
      <c r="N279" s="547" t="s">
        <v>232</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DESLGRNT</v>
      </c>
      <c r="C280" s="50" t="s">
        <v>271</v>
      </c>
      <c r="D280" s="532" t="str">
        <f>'15CustomParticipants'!D$25</f>
        <v>Enter custom role 2</v>
      </c>
      <c r="E280" s="50" t="s">
        <v>52</v>
      </c>
      <c r="F280" s="535" t="str">
        <f t="shared" si="30"/>
        <v>PA name</v>
      </c>
      <c r="G280" s="543"/>
      <c r="H280" s="544">
        <f>Table3[[#This Row],[Hrs Rank]]</f>
        <v>0</v>
      </c>
      <c r="I280" s="534">
        <f t="shared" si="28"/>
        <v>0</v>
      </c>
      <c r="J280" s="534">
        <f t="shared" si="29"/>
        <v>0</v>
      </c>
      <c r="K280" s="551"/>
      <c r="L280" s="551"/>
      <c r="M280" s="547" t="s">
        <v>232</v>
      </c>
      <c r="N280" s="547" t="s">
        <v>232</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DESLGRNT</v>
      </c>
      <c r="C281" s="50" t="s">
        <v>271</v>
      </c>
      <c r="D281" s="532" t="str">
        <f>'15CustomParticipants'!D$41</f>
        <v>Enter custom role 3</v>
      </c>
      <c r="E281" s="50" t="s">
        <v>53</v>
      </c>
      <c r="F281" s="535" t="str">
        <f t="shared" ref="F281:F296" si="31">R.3PAname</f>
        <v>PA name</v>
      </c>
      <c r="G281" s="543"/>
      <c r="H281" s="544">
        <f>Table3[[#This Row],[Hrs Rank]]</f>
        <v>0</v>
      </c>
      <c r="I281" s="534">
        <f t="shared" si="28"/>
        <v>0</v>
      </c>
      <c r="J281" s="534">
        <f t="shared" si="29"/>
        <v>0</v>
      </c>
      <c r="K281" s="551"/>
      <c r="L281" s="551"/>
      <c r="M281" s="547" t="s">
        <v>232</v>
      </c>
      <c r="N281" s="547" t="s">
        <v>232</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DESLGRNT</v>
      </c>
      <c r="C282" s="50" t="s">
        <v>271</v>
      </c>
      <c r="D282" s="532" t="str">
        <f>'15CustomParticipants'!D$41</f>
        <v>Enter custom role 3</v>
      </c>
      <c r="E282" s="50" t="s">
        <v>53</v>
      </c>
      <c r="F282" s="535" t="str">
        <f t="shared" si="31"/>
        <v>PA name</v>
      </c>
      <c r="G282" s="543"/>
      <c r="H282" s="544">
        <f>Table3[[#This Row],[Hrs Rank]]</f>
        <v>0</v>
      </c>
      <c r="I282" s="534">
        <f t="shared" si="28"/>
        <v>0</v>
      </c>
      <c r="J282" s="534">
        <f t="shared" si="29"/>
        <v>0</v>
      </c>
      <c r="K282" s="551"/>
      <c r="L282" s="551"/>
      <c r="M282" s="547" t="s">
        <v>232</v>
      </c>
      <c r="N282" s="547" t="s">
        <v>232</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DESLGRNT</v>
      </c>
      <c r="C283" s="50" t="s">
        <v>271</v>
      </c>
      <c r="D283" s="532" t="str">
        <f>'15CustomParticipants'!D$41</f>
        <v>Enter custom role 3</v>
      </c>
      <c r="E283" s="50" t="s">
        <v>53</v>
      </c>
      <c r="F283" s="535" t="str">
        <f t="shared" si="31"/>
        <v>PA name</v>
      </c>
      <c r="G283" s="543"/>
      <c r="H283" s="544">
        <f>Table3[[#This Row],[Hrs Rank]]</f>
        <v>0</v>
      </c>
      <c r="I283" s="534">
        <f t="shared" si="28"/>
        <v>0</v>
      </c>
      <c r="J283" s="534">
        <f t="shared" si="29"/>
        <v>0</v>
      </c>
      <c r="K283" s="551"/>
      <c r="L283" s="551"/>
      <c r="M283" s="547" t="s">
        <v>232</v>
      </c>
      <c r="N283" s="547" t="s">
        <v>232</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DESLGRNT</v>
      </c>
      <c r="C284" s="50" t="s">
        <v>271</v>
      </c>
      <c r="D284" s="532" t="str">
        <f>'15CustomParticipants'!D$41</f>
        <v>Enter custom role 3</v>
      </c>
      <c r="E284" s="50" t="s">
        <v>53</v>
      </c>
      <c r="F284" s="535" t="str">
        <f t="shared" si="31"/>
        <v>PA name</v>
      </c>
      <c r="G284" s="543"/>
      <c r="H284" s="544">
        <f>Table3[[#This Row],[Hrs Rank]]</f>
        <v>0</v>
      </c>
      <c r="I284" s="534">
        <f t="shared" si="28"/>
        <v>0</v>
      </c>
      <c r="J284" s="534">
        <f t="shared" si="29"/>
        <v>0</v>
      </c>
      <c r="K284" s="551"/>
      <c r="L284" s="551"/>
      <c r="M284" s="547" t="s">
        <v>232</v>
      </c>
      <c r="N284" s="547" t="s">
        <v>232</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DESLGRNT</v>
      </c>
      <c r="C285" s="50" t="s">
        <v>271</v>
      </c>
      <c r="D285" s="532" t="str">
        <f>'15CustomParticipants'!D$41</f>
        <v>Enter custom role 3</v>
      </c>
      <c r="E285" s="50" t="s">
        <v>52</v>
      </c>
      <c r="F285" s="535" t="str">
        <f t="shared" si="31"/>
        <v>PA name</v>
      </c>
      <c r="G285" s="543"/>
      <c r="H285" s="544">
        <f>Table3[[#This Row],[Hrs Rank]]</f>
        <v>0</v>
      </c>
      <c r="I285" s="534">
        <f t="shared" si="28"/>
        <v>0</v>
      </c>
      <c r="J285" s="534">
        <f t="shared" si="29"/>
        <v>0</v>
      </c>
      <c r="K285" s="551"/>
      <c r="L285" s="551"/>
      <c r="M285" s="547" t="s">
        <v>232</v>
      </c>
      <c r="N285" s="547" t="s">
        <v>232</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DESLGRNT</v>
      </c>
      <c r="C286" s="50" t="s">
        <v>271</v>
      </c>
      <c r="D286" s="532" t="str">
        <f>'15CustomParticipants'!D$41</f>
        <v>Enter custom role 3</v>
      </c>
      <c r="E286" s="50" t="s">
        <v>52</v>
      </c>
      <c r="F286" s="535" t="str">
        <f t="shared" si="31"/>
        <v>PA name</v>
      </c>
      <c r="G286" s="543"/>
      <c r="H286" s="544">
        <f>Table3[[#This Row],[Hrs Rank]]</f>
        <v>0</v>
      </c>
      <c r="I286" s="534">
        <f t="shared" si="28"/>
        <v>0</v>
      </c>
      <c r="J286" s="534">
        <f t="shared" si="29"/>
        <v>0</v>
      </c>
      <c r="K286" s="551"/>
      <c r="L286" s="551"/>
      <c r="M286" s="547" t="s">
        <v>232</v>
      </c>
      <c r="N286" s="547" t="s">
        <v>232</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DESLGRNT</v>
      </c>
      <c r="C287" s="50" t="s">
        <v>271</v>
      </c>
      <c r="D287" s="532" t="str">
        <f>'15CustomParticipants'!D$41</f>
        <v>Enter custom role 3</v>
      </c>
      <c r="E287" s="50" t="s">
        <v>52</v>
      </c>
      <c r="F287" s="535" t="str">
        <f t="shared" si="31"/>
        <v>PA name</v>
      </c>
      <c r="G287" s="543"/>
      <c r="H287" s="544">
        <f>Table3[[#This Row],[Hrs Rank]]</f>
        <v>0</v>
      </c>
      <c r="I287" s="534">
        <f t="shared" si="28"/>
        <v>0</v>
      </c>
      <c r="J287" s="534">
        <f t="shared" si="29"/>
        <v>0</v>
      </c>
      <c r="K287" s="551"/>
      <c r="L287" s="551"/>
      <c r="M287" s="547" t="s">
        <v>232</v>
      </c>
      <c r="N287" s="547" t="s">
        <v>232</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DESLGRNT</v>
      </c>
      <c r="C288" s="50" t="s">
        <v>271</v>
      </c>
      <c r="D288" s="532" t="str">
        <f>'15CustomParticipants'!D$41</f>
        <v>Enter custom role 3</v>
      </c>
      <c r="E288" s="50" t="s">
        <v>52</v>
      </c>
      <c r="F288" s="535" t="str">
        <f t="shared" si="31"/>
        <v>PA name</v>
      </c>
      <c r="G288" s="543"/>
      <c r="H288" s="544">
        <f>Table3[[#This Row],[Hrs Rank]]</f>
        <v>0</v>
      </c>
      <c r="I288" s="534">
        <f t="shared" si="28"/>
        <v>0</v>
      </c>
      <c r="J288" s="534">
        <f t="shared" si="29"/>
        <v>0</v>
      </c>
      <c r="K288" s="551"/>
      <c r="L288" s="551"/>
      <c r="M288" s="547" t="s">
        <v>232</v>
      </c>
      <c r="N288" s="547" t="s">
        <v>232</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DESLGRNT</v>
      </c>
      <c r="C289" s="50" t="s">
        <v>271</v>
      </c>
      <c r="D289" s="532" t="str">
        <f>'15CustomParticipants'!D$57</f>
        <v>Enter custom role 4</v>
      </c>
      <c r="E289" s="50" t="s">
        <v>53</v>
      </c>
      <c r="F289" s="535" t="str">
        <f t="shared" si="31"/>
        <v>PA name</v>
      </c>
      <c r="G289" s="543"/>
      <c r="H289" s="544">
        <f>Table3[[#This Row],[Hrs Rank]]</f>
        <v>0</v>
      </c>
      <c r="I289" s="534">
        <f t="shared" si="28"/>
        <v>0</v>
      </c>
      <c r="J289" s="534">
        <f t="shared" si="29"/>
        <v>0</v>
      </c>
      <c r="K289" s="551"/>
      <c r="L289" s="551"/>
      <c r="M289" s="547" t="s">
        <v>232</v>
      </c>
      <c r="N289" s="547" t="s">
        <v>232</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DESLGRNT</v>
      </c>
      <c r="C290" s="50" t="s">
        <v>271</v>
      </c>
      <c r="D290" s="532" t="str">
        <f>'15CustomParticipants'!D$57</f>
        <v>Enter custom role 4</v>
      </c>
      <c r="E290" s="50" t="s">
        <v>53</v>
      </c>
      <c r="F290" s="535" t="str">
        <f t="shared" si="31"/>
        <v>PA name</v>
      </c>
      <c r="G290" s="543"/>
      <c r="H290" s="544">
        <f>Table3[[#This Row],[Hrs Rank]]</f>
        <v>0</v>
      </c>
      <c r="I290" s="534">
        <f t="shared" si="28"/>
        <v>0</v>
      </c>
      <c r="J290" s="534">
        <f t="shared" si="29"/>
        <v>0</v>
      </c>
      <c r="K290" s="551"/>
      <c r="L290" s="551"/>
      <c r="M290" s="547" t="s">
        <v>232</v>
      </c>
      <c r="N290" s="547" t="s">
        <v>232</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DESLGRNT</v>
      </c>
      <c r="C291" s="50" t="s">
        <v>271</v>
      </c>
      <c r="D291" s="532" t="str">
        <f>'15CustomParticipants'!D$57</f>
        <v>Enter custom role 4</v>
      </c>
      <c r="E291" s="50" t="s">
        <v>53</v>
      </c>
      <c r="F291" s="535" t="str">
        <f t="shared" si="31"/>
        <v>PA name</v>
      </c>
      <c r="G291" s="543"/>
      <c r="H291" s="544">
        <f>Table3[[#This Row],[Hrs Rank]]</f>
        <v>0</v>
      </c>
      <c r="I291" s="534">
        <f t="shared" si="28"/>
        <v>0</v>
      </c>
      <c r="J291" s="534">
        <f t="shared" si="29"/>
        <v>0</v>
      </c>
      <c r="K291" s="551"/>
      <c r="L291" s="551"/>
      <c r="M291" s="547" t="s">
        <v>232</v>
      </c>
      <c r="N291" s="547" t="s">
        <v>232</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DESLGRNT</v>
      </c>
      <c r="C292" s="50" t="s">
        <v>271</v>
      </c>
      <c r="D292" s="532" t="str">
        <f>'15CustomParticipants'!D$57</f>
        <v>Enter custom role 4</v>
      </c>
      <c r="E292" s="50" t="s">
        <v>53</v>
      </c>
      <c r="F292" s="535" t="str">
        <f t="shared" si="31"/>
        <v>PA name</v>
      </c>
      <c r="G292" s="543"/>
      <c r="H292" s="544">
        <f>Table3[[#This Row],[Hrs Rank]]</f>
        <v>0</v>
      </c>
      <c r="I292" s="534">
        <f t="shared" si="28"/>
        <v>0</v>
      </c>
      <c r="J292" s="534">
        <f t="shared" si="29"/>
        <v>0</v>
      </c>
      <c r="K292" s="551"/>
      <c r="L292" s="551"/>
      <c r="M292" s="547" t="s">
        <v>232</v>
      </c>
      <c r="N292" s="547" t="s">
        <v>232</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DESLGRNT</v>
      </c>
      <c r="C293" s="50" t="s">
        <v>271</v>
      </c>
      <c r="D293" s="532" t="str">
        <f>'15CustomParticipants'!D$57</f>
        <v>Enter custom role 4</v>
      </c>
      <c r="E293" s="50" t="s">
        <v>52</v>
      </c>
      <c r="F293" s="535" t="str">
        <f t="shared" si="31"/>
        <v>PA name</v>
      </c>
      <c r="G293" s="543"/>
      <c r="H293" s="544">
        <f>Table3[[#This Row],[Hrs Rank]]</f>
        <v>0</v>
      </c>
      <c r="I293" s="534">
        <f t="shared" si="28"/>
        <v>0</v>
      </c>
      <c r="J293" s="534">
        <f t="shared" si="29"/>
        <v>0</v>
      </c>
      <c r="K293" s="551"/>
      <c r="L293" s="551"/>
      <c r="M293" s="547" t="s">
        <v>232</v>
      </c>
      <c r="N293" s="547" t="s">
        <v>232</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DESLGRNT</v>
      </c>
      <c r="C294" s="50" t="s">
        <v>271</v>
      </c>
      <c r="D294" s="532" t="str">
        <f>'15CustomParticipants'!D$57</f>
        <v>Enter custom role 4</v>
      </c>
      <c r="E294" s="50" t="s">
        <v>52</v>
      </c>
      <c r="F294" s="535" t="str">
        <f t="shared" si="31"/>
        <v>PA name</v>
      </c>
      <c r="G294" s="543"/>
      <c r="H294" s="544">
        <f>Table3[[#This Row],[Hrs Rank]]</f>
        <v>0</v>
      </c>
      <c r="I294" s="534">
        <f t="shared" si="28"/>
        <v>0</v>
      </c>
      <c r="J294" s="534">
        <f t="shared" si="29"/>
        <v>0</v>
      </c>
      <c r="K294" s="551"/>
      <c r="L294" s="551"/>
      <c r="M294" s="547" t="s">
        <v>232</v>
      </c>
      <c r="N294" s="547" t="s">
        <v>232</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DESLGRNT</v>
      </c>
      <c r="C295" s="50" t="s">
        <v>271</v>
      </c>
      <c r="D295" s="532" t="str">
        <f>'15CustomParticipants'!D$57</f>
        <v>Enter custom role 4</v>
      </c>
      <c r="E295" s="50" t="s">
        <v>52</v>
      </c>
      <c r="F295" s="535" t="str">
        <f t="shared" si="31"/>
        <v>PA name</v>
      </c>
      <c r="G295" s="543"/>
      <c r="H295" s="544">
        <f>Table3[[#This Row],[Hrs Rank]]</f>
        <v>0</v>
      </c>
      <c r="I295" s="534">
        <f t="shared" si="28"/>
        <v>0</v>
      </c>
      <c r="J295" s="534">
        <f t="shared" si="29"/>
        <v>0</v>
      </c>
      <c r="K295" s="551"/>
      <c r="L295" s="551"/>
      <c r="M295" s="547" t="s">
        <v>232</v>
      </c>
      <c r="N295" s="547" t="s">
        <v>232</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DESLGRNT</v>
      </c>
      <c r="C296" s="50" t="s">
        <v>271</v>
      </c>
      <c r="D296" s="532" t="str">
        <f>'15CustomParticipants'!D$57</f>
        <v>Enter custom role 4</v>
      </c>
      <c r="E296" s="50" t="s">
        <v>52</v>
      </c>
      <c r="F296" s="535" t="str">
        <f t="shared" si="31"/>
        <v>PA name</v>
      </c>
      <c r="G296" s="543"/>
      <c r="H296" s="544">
        <f>Table3[[#This Row],[Hrs Rank]]</f>
        <v>0</v>
      </c>
      <c r="I296" s="534">
        <f t="shared" si="28"/>
        <v>0</v>
      </c>
      <c r="J296" s="534">
        <f t="shared" si="29"/>
        <v>0</v>
      </c>
      <c r="K296" s="551"/>
      <c r="L296" s="551"/>
      <c r="M296" s="547" t="s">
        <v>232</v>
      </c>
      <c r="N296" s="547" t="s">
        <v>232</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2" t="str">
        <f>R.1MediaAndLongName</f>
        <v>AQ Diesel federal grant align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8" t="s">
        <v>57</v>
      </c>
      <c r="N3" s="698"/>
      <c r="O3" s="698"/>
      <c r="P3" s="69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99" t="s">
        <v>54</v>
      </c>
      <c r="G4" s="699"/>
      <c r="H4" s="699"/>
      <c r="I4" s="699"/>
      <c r="J4" s="699"/>
      <c r="K4" s="699"/>
      <c r="L4" s="699"/>
      <c r="M4" s="700" t="str">
        <f>S5</f>
        <v>0</v>
      </c>
      <c r="N4" s="700"/>
      <c r="O4" s="700"/>
      <c r="P4" s="700"/>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99" t="s">
        <v>58</v>
      </c>
      <c r="G5" s="699"/>
      <c r="H5" s="699"/>
      <c r="I5" s="699"/>
      <c r="J5" s="699"/>
      <c r="K5" s="699"/>
      <c r="L5" s="699"/>
      <c r="M5" s="701" t="str">
        <f>S6</f>
        <v>$0</v>
      </c>
      <c r="N5" s="701"/>
      <c r="O5" s="701"/>
      <c r="P5" s="701"/>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9" t="s">
        <v>255</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7"/>
      <c r="E11" s="688"/>
      <c r="F11" s="688"/>
      <c r="G11" s="688"/>
      <c r="H11" s="688"/>
      <c r="I11" s="688"/>
      <c r="J11" s="688"/>
      <c r="K11" s="688"/>
      <c r="L11" s="688"/>
      <c r="M11" s="688"/>
      <c r="N11" s="688"/>
      <c r="O11" s="688"/>
      <c r="P11" s="689"/>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32" t="s">
        <v>18</v>
      </c>
      <c r="G12" s="732"/>
      <c r="H12" s="732"/>
      <c r="I12" s="732"/>
      <c r="J12" s="732"/>
      <c r="K12" s="732"/>
      <c r="L12" s="732"/>
      <c r="M12" s="732"/>
      <c r="N12" s="732"/>
      <c r="O12" s="732"/>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233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558</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233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233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233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9"/>
      <c r="E18" s="740"/>
      <c r="F18" s="740"/>
      <c r="G18" s="740"/>
      <c r="H18" s="740"/>
      <c r="I18" s="740"/>
      <c r="J18" s="740"/>
      <c r="K18" s="740"/>
      <c r="L18" s="740"/>
      <c r="M18" s="740"/>
      <c r="N18" s="740"/>
      <c r="O18" s="740"/>
      <c r="P18" s="741"/>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233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558</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233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233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8"/>
      <c r="F24" s="738"/>
      <c r="G24" s="738"/>
      <c r="H24" s="738"/>
      <c r="I24" s="738"/>
      <c r="J24" s="738"/>
      <c r="K24" s="738"/>
      <c r="L24" s="738"/>
      <c r="M24" s="738"/>
      <c r="N24" s="738"/>
      <c r="O24" s="738"/>
      <c r="P24" s="73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7"/>
      <c r="E27" s="688"/>
      <c r="F27" s="688"/>
      <c r="G27" s="688"/>
      <c r="H27" s="688"/>
      <c r="I27" s="688"/>
      <c r="J27" s="688"/>
      <c r="K27" s="688"/>
      <c r="L27" s="688"/>
      <c r="M27" s="688"/>
      <c r="N27" s="688"/>
      <c r="O27" s="688"/>
      <c r="P27" s="689"/>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233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558</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233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233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9"/>
      <c r="E34" s="740"/>
      <c r="F34" s="740"/>
      <c r="G34" s="740"/>
      <c r="H34" s="740"/>
      <c r="I34" s="740"/>
      <c r="J34" s="740"/>
      <c r="K34" s="740"/>
      <c r="L34" s="740"/>
      <c r="M34" s="740"/>
      <c r="N34" s="740"/>
      <c r="O34" s="740"/>
      <c r="P34" s="741"/>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233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558</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233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233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233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8"/>
      <c r="F40" s="738"/>
      <c r="G40" s="738"/>
      <c r="H40" s="738"/>
      <c r="I40" s="738"/>
      <c r="J40" s="738"/>
      <c r="K40" s="738"/>
      <c r="L40" s="738"/>
      <c r="M40" s="738"/>
      <c r="N40" s="738"/>
      <c r="O40" s="738"/>
      <c r="P40" s="73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7" t="s">
        <v>0</v>
      </c>
      <c r="E43" s="688"/>
      <c r="F43" s="688"/>
      <c r="G43" s="688"/>
      <c r="H43" s="688"/>
      <c r="I43" s="688"/>
      <c r="J43" s="688"/>
      <c r="K43" s="688"/>
      <c r="L43" s="688"/>
      <c r="M43" s="688"/>
      <c r="N43" s="688"/>
      <c r="O43" s="688"/>
      <c r="P43" s="689"/>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32" t="s">
        <v>18</v>
      </c>
      <c r="G44" s="732"/>
      <c r="H44" s="732"/>
      <c r="I44" s="732"/>
      <c r="J44" s="732"/>
      <c r="K44" s="732"/>
      <c r="L44" s="732"/>
      <c r="M44" s="732"/>
      <c r="N44" s="732"/>
      <c r="O44" s="732"/>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233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558</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233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233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9" t="s">
        <v>0</v>
      </c>
      <c r="E50" s="740"/>
      <c r="F50" s="740"/>
      <c r="G50" s="740"/>
      <c r="H50" s="740"/>
      <c r="I50" s="740"/>
      <c r="J50" s="740"/>
      <c r="K50" s="740"/>
      <c r="L50" s="740"/>
      <c r="M50" s="740"/>
      <c r="N50" s="740"/>
      <c r="O50" s="740"/>
      <c r="P50" s="741"/>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233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558</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233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233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7"/>
      <c r="F56" s="737"/>
      <c r="G56" s="737"/>
      <c r="H56" s="737"/>
      <c r="I56" s="737"/>
      <c r="J56" s="737"/>
      <c r="K56" s="737"/>
      <c r="L56" s="737"/>
      <c r="M56" s="737"/>
      <c r="N56" s="737"/>
      <c r="O56" s="737"/>
      <c r="P56" s="73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2" t="str">
        <f>"Please suggest process improvements to the "&amp;D2&amp;" worksheet."</f>
        <v>Please suggest process improvements to the Regions worksheet.</v>
      </c>
      <c r="E57" s="742"/>
      <c r="F57" s="742"/>
      <c r="G57" s="742"/>
      <c r="H57" s="742"/>
      <c r="I57" s="742"/>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0"/>
      <c r="E58" s="641"/>
      <c r="F58" s="641"/>
      <c r="G58" s="641"/>
      <c r="H58" s="641"/>
      <c r="I58" s="641"/>
      <c r="J58" s="641"/>
      <c r="K58" s="641"/>
      <c r="L58" s="641"/>
      <c r="M58" s="641"/>
      <c r="N58" s="641"/>
      <c r="O58" s="641"/>
      <c r="P58" s="64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6"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7" t="str">
        <f>R.1MediaAndLongName</f>
        <v>AQ Diesel federal grant align</v>
      </c>
      <c r="F2" s="697"/>
      <c r="G2" s="697"/>
      <c r="H2" s="697"/>
      <c r="I2" s="697"/>
      <c r="J2" s="697"/>
      <c r="K2" s="697"/>
      <c r="L2" s="697"/>
      <c r="M2" s="697"/>
      <c r="N2" s="697"/>
      <c r="O2" s="697"/>
      <c r="P2" s="69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8" t="s">
        <v>57</v>
      </c>
      <c r="N3" s="698"/>
      <c r="O3" s="698"/>
      <c r="P3" s="69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99" t="s">
        <v>54</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99" t="s">
        <v>58</v>
      </c>
      <c r="G5" s="699"/>
      <c r="H5" s="699"/>
      <c r="I5" s="699"/>
      <c r="J5" s="699"/>
      <c r="K5" s="699"/>
      <c r="L5" s="699"/>
      <c r="M5" s="701" t="str">
        <f>S6</f>
        <v>$0</v>
      </c>
      <c r="N5" s="701"/>
      <c r="O5" s="701"/>
      <c r="P5" s="701"/>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3" t="s">
        <v>176</v>
      </c>
      <c r="E6" s="743"/>
      <c r="F6" s="743"/>
      <c r="G6" s="743"/>
      <c r="H6" s="743"/>
      <c r="I6" s="743"/>
      <c r="J6" s="743"/>
      <c r="K6" s="743"/>
      <c r="L6" s="743"/>
      <c r="M6" s="743"/>
      <c r="N6" s="743"/>
      <c r="O6" s="743"/>
      <c r="P6" s="743"/>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9" t="s">
        <v>249</v>
      </c>
      <c r="E7" s="730"/>
      <c r="F7" s="730"/>
      <c r="G7" s="730"/>
      <c r="H7" s="730"/>
      <c r="I7" s="730"/>
      <c r="J7" s="730"/>
      <c r="K7" s="730"/>
      <c r="L7" s="730"/>
      <c r="M7" s="730"/>
      <c r="N7" s="730"/>
      <c r="O7" s="730"/>
      <c r="P7" s="731"/>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7" t="s">
        <v>178</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473</v>
      </c>
      <c r="E9" s="745"/>
      <c r="F9" s="745"/>
      <c r="G9" s="745"/>
      <c r="H9" s="745"/>
      <c r="I9" s="745"/>
      <c r="J9" s="745"/>
      <c r="K9" s="745"/>
      <c r="L9" s="745"/>
      <c r="M9" s="745"/>
      <c r="N9" s="745"/>
      <c r="O9" s="745"/>
      <c r="P9" s="746"/>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1"/>
      <c r="T10" s="711"/>
      <c r="U10" s="711"/>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8" t="s">
        <v>177</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32" t="s">
        <v>18</v>
      </c>
      <c r="G14" s="732"/>
      <c r="H14" s="732"/>
      <c r="I14" s="732"/>
      <c r="J14" s="732"/>
      <c r="K14" s="732"/>
      <c r="L14" s="732"/>
      <c r="M14" s="732"/>
      <c r="N14" s="732"/>
      <c r="O14" s="732"/>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175</v>
      </c>
      <c r="E15" s="30" t="s">
        <v>233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558</v>
      </c>
      <c r="W15" s="64"/>
      <c r="X15" s="64"/>
      <c r="Y15" s="64"/>
      <c r="Z15" s="64"/>
      <c r="AA15" s="64"/>
      <c r="AB15" s="64"/>
      <c r="AC15" s="64"/>
      <c r="AD15" s="130"/>
      <c r="AE15" s="130"/>
      <c r="AF15" s="130"/>
    </row>
    <row r="16" spans="1:33" s="28" customFormat="1" ht="20.25" hidden="1" customHeight="1" outlineLevel="1">
      <c r="A16" s="317"/>
      <c r="B16" s="334"/>
      <c r="C16" s="138"/>
      <c r="D16" s="36" t="s">
        <v>0</v>
      </c>
      <c r="E16" s="30" t="s">
        <v>233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233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233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233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row>
    <row r="23" spans="1:32" s="28" customFormat="1" ht="20.25" hidden="1" customHeight="1" outlineLevel="1">
      <c r="A23" s="317"/>
      <c r="B23" s="334"/>
      <c r="C23" s="138"/>
      <c r="D23" s="36" t="s">
        <v>0</v>
      </c>
      <c r="E23" s="30" t="s">
        <v>233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233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558</v>
      </c>
      <c r="W31" s="64"/>
      <c r="X31" s="64"/>
      <c r="Y31" s="64"/>
      <c r="Z31" s="64"/>
      <c r="AA31" s="64"/>
      <c r="AB31" s="64"/>
      <c r="AC31" s="64"/>
      <c r="AD31" s="130"/>
      <c r="AE31" s="130"/>
      <c r="AF31" s="130"/>
    </row>
    <row r="32" spans="1:32" s="28" customFormat="1" ht="20.25" hidden="1" customHeight="1" outlineLevel="1">
      <c r="A32" s="317"/>
      <c r="B32" s="334"/>
      <c r="C32" s="138"/>
      <c r="D32" s="36" t="s">
        <v>0</v>
      </c>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233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233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558</v>
      </c>
      <c r="W38" s="64"/>
      <c r="X38" s="64"/>
      <c r="Y38" s="64"/>
      <c r="Z38" s="64"/>
      <c r="AA38" s="64"/>
      <c r="AB38" s="64"/>
      <c r="AC38" s="64"/>
      <c r="AD38" s="130"/>
      <c r="AE38" s="130"/>
      <c r="AF38" s="130"/>
    </row>
    <row r="39" spans="1:32" s="28" customFormat="1" ht="20.25" hidden="1" customHeight="1" outlineLevel="1">
      <c r="A39" s="317"/>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8"/>
      <c r="E45" s="719"/>
      <c r="F45" s="719"/>
      <c r="G45" s="719"/>
      <c r="H45" s="719"/>
      <c r="I45" s="719"/>
      <c r="J45" s="719"/>
      <c r="K45" s="719"/>
      <c r="L45" s="719"/>
      <c r="M45" s="719"/>
      <c r="N45" s="719"/>
      <c r="O45" s="719"/>
      <c r="P45" s="72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32" t="s">
        <v>18</v>
      </c>
      <c r="G46" s="732"/>
      <c r="H46" s="732"/>
      <c r="I46" s="732"/>
      <c r="J46" s="732"/>
      <c r="K46" s="732"/>
      <c r="L46" s="732"/>
      <c r="M46" s="732"/>
      <c r="N46" s="732"/>
      <c r="O46" s="732"/>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233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558</v>
      </c>
      <c r="W47" s="64"/>
      <c r="X47" s="64"/>
      <c r="Y47" s="64"/>
      <c r="Z47" s="64"/>
      <c r="AA47" s="64"/>
      <c r="AB47" s="64"/>
      <c r="AC47" s="64"/>
      <c r="AD47" s="130"/>
      <c r="AE47" s="130"/>
      <c r="AF47" s="130"/>
    </row>
    <row r="48" spans="1:32" s="28" customFormat="1" ht="20.25" hidden="1" customHeight="1" outlineLevel="1">
      <c r="A48" s="317"/>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233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558</v>
      </c>
      <c r="W54" s="64"/>
      <c r="X54" s="64"/>
      <c r="Y54" s="64"/>
      <c r="Z54" s="64"/>
      <c r="AA54" s="64"/>
      <c r="AB54" s="64"/>
      <c r="AC54" s="64"/>
      <c r="AD54" s="130"/>
      <c r="AE54" s="130"/>
      <c r="AF54" s="130"/>
    </row>
    <row r="55" spans="1:32" s="28" customFormat="1" ht="20.25" hidden="1" customHeight="1" outlineLevel="1">
      <c r="A55" s="317"/>
      <c r="B55" s="334"/>
      <c r="C55" s="138"/>
      <c r="D55" s="36"/>
      <c r="E55" s="30" t="s">
        <v>233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3" t="str">
        <f>"Please suggest process improvements to the "&amp;D2&amp;" worksheet."</f>
        <v>Please suggest process improvements to the Financial Services worksheet.</v>
      </c>
      <c r="E59" s="643"/>
      <c r="F59" s="643"/>
      <c r="G59" s="64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E15" sqref="E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2" t="str">
        <f>R.1MediaAndLongName</f>
        <v>AQ Diesel federal grant align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8" t="s">
        <v>57</v>
      </c>
      <c r="N3" s="698"/>
      <c r="O3" s="698"/>
      <c r="P3" s="69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0</v>
      </c>
      <c r="F4" s="699" t="s">
        <v>54</v>
      </c>
      <c r="G4" s="699"/>
      <c r="H4" s="699"/>
      <c r="I4" s="699"/>
      <c r="J4" s="699"/>
      <c r="K4" s="699"/>
      <c r="L4" s="699"/>
      <c r="M4" s="700" t="str">
        <f>S5</f>
        <v>0</v>
      </c>
      <c r="N4" s="700"/>
      <c r="O4" s="700"/>
      <c r="P4" s="70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68</v>
      </c>
      <c r="E5" s="98">
        <f>R.AvgHrDEQCost</f>
        <v>58</v>
      </c>
      <c r="F5" s="699" t="s">
        <v>58</v>
      </c>
      <c r="G5" s="699"/>
      <c r="H5" s="699"/>
      <c r="I5" s="699"/>
      <c r="J5" s="699"/>
      <c r="K5" s="699"/>
      <c r="L5" s="699"/>
      <c r="M5" s="701" t="str">
        <f>S6</f>
        <v>$0</v>
      </c>
      <c r="N5" s="701"/>
      <c r="O5" s="701"/>
      <c r="P5" s="701"/>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29" t="s">
        <v>250</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529</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473</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1" t="s">
        <v>0</v>
      </c>
      <c r="T10" s="711"/>
      <c r="U10" s="711"/>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3" t="s">
        <v>155</v>
      </c>
      <c r="E13" s="724"/>
      <c r="F13" s="724"/>
      <c r="G13" s="724"/>
      <c r="H13" s="724"/>
      <c r="I13" s="724"/>
      <c r="J13" s="724"/>
      <c r="K13" s="724"/>
      <c r="L13" s="724"/>
      <c r="M13" s="724"/>
      <c r="N13" s="724"/>
      <c r="O13" s="724"/>
      <c r="P13" s="72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32" t="s">
        <v>18</v>
      </c>
      <c r="G14" s="732"/>
      <c r="H14" s="732"/>
      <c r="I14" s="732"/>
      <c r="J14" s="732"/>
      <c r="K14" s="732"/>
      <c r="L14" s="732"/>
      <c r="M14" s="732"/>
      <c r="N14" s="732"/>
      <c r="O14" s="732"/>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558</v>
      </c>
      <c r="W15" s="64"/>
      <c r="X15" s="64"/>
      <c r="Y15" s="64"/>
      <c r="Z15" s="64"/>
      <c r="AA15" s="64"/>
      <c r="AB15" s="64"/>
      <c r="AC15" s="64"/>
      <c r="AD15" s="130"/>
      <c r="AE15" s="130"/>
      <c r="AF15" s="130"/>
    </row>
    <row r="16" spans="1:33" s="28" customFormat="1" ht="15.75" customHeight="1">
      <c r="A16" s="320"/>
      <c r="B16" s="334"/>
      <c r="C16" s="138"/>
      <c r="D16" s="464" t="s">
        <v>159</v>
      </c>
      <c r="E16" s="30" t="s">
        <v>233</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558</v>
      </c>
      <c r="W16" s="64"/>
      <c r="X16" s="64"/>
      <c r="Y16" s="64"/>
      <c r="Z16" s="64"/>
      <c r="AA16" s="64"/>
      <c r="AB16" s="64"/>
      <c r="AC16" s="64"/>
      <c r="AD16" s="130"/>
      <c r="AE16" s="130"/>
      <c r="AF16" s="130"/>
    </row>
    <row r="17" spans="1:32" s="28" customFormat="1" ht="20.25" hidden="1" customHeight="1" outlineLevel="1">
      <c r="A17" s="320"/>
      <c r="B17" s="334"/>
      <c r="C17" s="138"/>
      <c r="D17" s="36" t="s">
        <v>0</v>
      </c>
      <c r="E17" s="30" t="s">
        <v>233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233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233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row>
    <row r="23" spans="1:32" s="28" customFormat="1" ht="20.25" hidden="1" customHeight="1" outlineLevel="1">
      <c r="A23" s="320"/>
      <c r="B23" s="334"/>
      <c r="C23" s="138"/>
      <c r="D23" s="36"/>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233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8"/>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233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558</v>
      </c>
      <c r="W31" s="64"/>
      <c r="X31" s="64"/>
      <c r="Y31" s="64"/>
      <c r="Z31" s="64"/>
      <c r="AA31" s="64"/>
      <c r="AB31" s="64"/>
      <c r="AC31" s="64"/>
      <c r="AD31" s="130"/>
      <c r="AE31" s="130"/>
      <c r="AF31" s="130"/>
    </row>
    <row r="32" spans="1:32" s="28" customFormat="1" ht="20.25" hidden="1" customHeight="1" outlineLevel="1">
      <c r="A32" s="320"/>
      <c r="B32" s="334"/>
      <c r="C32" s="138"/>
      <c r="D32" s="36" t="s">
        <v>0</v>
      </c>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233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3" t="s">
        <v>174</v>
      </c>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233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558</v>
      </c>
      <c r="W38" s="64"/>
      <c r="X38" s="64"/>
      <c r="Y38" s="64"/>
      <c r="Z38" s="64"/>
      <c r="AA38" s="64"/>
      <c r="AB38" s="64"/>
      <c r="AC38" s="64"/>
      <c r="AD38" s="130"/>
      <c r="AE38" s="130"/>
      <c r="AF38" s="130"/>
    </row>
    <row r="39" spans="1:32" s="28" customFormat="1" ht="20.25" hidden="1" customHeight="1" outlineLevel="1">
      <c r="A39" s="320"/>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3" t="s">
        <v>157</v>
      </c>
      <c r="E45" s="724"/>
      <c r="F45" s="724"/>
      <c r="G45" s="724"/>
      <c r="H45" s="724"/>
      <c r="I45" s="724"/>
      <c r="J45" s="724"/>
      <c r="K45" s="724"/>
      <c r="L45" s="724"/>
      <c r="M45" s="724"/>
      <c r="N45" s="724"/>
      <c r="O45" s="724"/>
      <c r="P45" s="72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32" t="s">
        <v>18</v>
      </c>
      <c r="G46" s="732"/>
      <c r="H46" s="732"/>
      <c r="I46" s="732"/>
      <c r="J46" s="732"/>
      <c r="K46" s="732"/>
      <c r="L46" s="732"/>
      <c r="M46" s="732"/>
      <c r="N46" s="732"/>
      <c r="O46" s="732"/>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233</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558</v>
      </c>
      <c r="W47" s="64"/>
      <c r="X47" s="64"/>
      <c r="Y47" s="64"/>
      <c r="Z47" s="64"/>
      <c r="AA47" s="64"/>
      <c r="AB47" s="64"/>
      <c r="AC47" s="64"/>
      <c r="AD47" s="130"/>
      <c r="AE47" s="130"/>
      <c r="AF47" s="130"/>
    </row>
    <row r="48" spans="1:32" s="28" customFormat="1" ht="20.25" hidden="1" customHeight="1" outlineLevel="1">
      <c r="A48" s="320"/>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3" t="s">
        <v>158</v>
      </c>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233</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558</v>
      </c>
      <c r="W54" s="64"/>
      <c r="X54" s="64"/>
      <c r="Y54" s="64"/>
      <c r="Z54" s="64"/>
      <c r="AA54" s="64"/>
      <c r="AB54" s="64"/>
      <c r="AC54" s="64"/>
      <c r="AD54" s="130"/>
      <c r="AE54" s="130"/>
      <c r="AF54" s="130"/>
    </row>
    <row r="55" spans="1:32" s="28" customFormat="1" ht="20.25" hidden="1" customHeight="1" outlineLevel="1">
      <c r="A55" s="320"/>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3" t="str">
        <f>"Please suggest process improvements to the "&amp;D2&amp;" worksheet."</f>
        <v>Please suggest process improvements to the Communications and Outreach worksheet.</v>
      </c>
      <c r="E59" s="643"/>
      <c r="F59" s="643"/>
      <c r="G59" s="643"/>
      <c r="H59" s="643"/>
      <c r="I59" s="643"/>
      <c r="J59" s="643"/>
      <c r="K59" s="643"/>
      <c r="L59" s="643"/>
      <c r="M59" s="64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2" t="str">
        <f>R.1MediaAndLongName</f>
        <v>AQ Diesel federal grant align</v>
      </c>
      <c r="F2" s="712"/>
      <c r="G2" s="712"/>
      <c r="H2" s="712"/>
      <c r="I2" s="712"/>
      <c r="J2" s="712"/>
      <c r="K2" s="712"/>
      <c r="L2" s="712"/>
      <c r="M2" s="712"/>
      <c r="N2" s="712"/>
      <c r="O2" s="712"/>
      <c r="P2" s="71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8" t="s">
        <v>57</v>
      </c>
      <c r="N3" s="698"/>
      <c r="O3" s="698"/>
      <c r="P3" s="69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99" t="s">
        <v>54</v>
      </c>
      <c r="G4" s="699"/>
      <c r="H4" s="699"/>
      <c r="I4" s="699"/>
      <c r="J4" s="699"/>
      <c r="K4" s="699"/>
      <c r="L4" s="699"/>
      <c r="M4" s="700" t="str">
        <f>S4</f>
        <v>0</v>
      </c>
      <c r="N4" s="700"/>
      <c r="O4" s="700"/>
      <c r="P4" s="70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99" t="s">
        <v>58</v>
      </c>
      <c r="G5" s="699"/>
      <c r="H5" s="699"/>
      <c r="I5" s="699"/>
      <c r="J5" s="699"/>
      <c r="K5" s="699"/>
      <c r="L5" s="699"/>
      <c r="M5" s="701" t="str">
        <f>S5</f>
        <v>$0</v>
      </c>
      <c r="N5" s="701"/>
      <c r="O5" s="701"/>
      <c r="P5" s="70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9" t="s">
        <v>251</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527</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473</v>
      </c>
      <c r="E9" s="745"/>
      <c r="F9" s="745"/>
      <c r="G9" s="745"/>
      <c r="H9" s="745"/>
      <c r="I9" s="745"/>
      <c r="J9" s="745"/>
      <c r="K9" s="745"/>
      <c r="L9" s="745"/>
      <c r="M9" s="745"/>
      <c r="N9" s="745"/>
      <c r="O9" s="745"/>
      <c r="P9" s="746"/>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32" t="s">
        <v>18</v>
      </c>
      <c r="G14" s="732"/>
      <c r="H14" s="732"/>
      <c r="I14" s="732"/>
      <c r="J14" s="732"/>
      <c r="K14" s="732"/>
      <c r="L14" s="732"/>
      <c r="M14" s="732"/>
      <c r="N14" s="732"/>
      <c r="O14" s="732"/>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233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558</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233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233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233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3"/>
      <c r="E20" s="734"/>
      <c r="F20" s="734"/>
      <c r="G20" s="734"/>
      <c r="H20" s="734"/>
      <c r="I20" s="734"/>
      <c r="J20" s="734"/>
      <c r="K20" s="734"/>
      <c r="L20" s="734"/>
      <c r="M20" s="734"/>
      <c r="N20" s="734"/>
      <c r="O20" s="734"/>
      <c r="P20" s="735"/>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233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233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8"/>
      <c r="F26" s="738"/>
      <c r="G26" s="738"/>
      <c r="H26" s="738"/>
      <c r="I26" s="738"/>
      <c r="J26" s="738"/>
      <c r="K26" s="738"/>
      <c r="L26" s="738"/>
      <c r="M26" s="738"/>
      <c r="N26" s="738"/>
      <c r="O26" s="738"/>
      <c r="P26" s="738"/>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8"/>
      <c r="E29" s="719"/>
      <c r="F29" s="719"/>
      <c r="G29" s="719"/>
      <c r="H29" s="719"/>
      <c r="I29" s="719"/>
      <c r="J29" s="719"/>
      <c r="K29" s="719"/>
      <c r="L29" s="719"/>
      <c r="M29" s="719"/>
      <c r="N29" s="719"/>
      <c r="O29" s="719"/>
      <c r="P29" s="72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233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558</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233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3"/>
      <c r="E36" s="724"/>
      <c r="F36" s="724"/>
      <c r="G36" s="724"/>
      <c r="H36" s="724"/>
      <c r="I36" s="724"/>
      <c r="J36" s="724"/>
      <c r="K36" s="724"/>
      <c r="L36" s="724"/>
      <c r="M36" s="724"/>
      <c r="N36" s="724"/>
      <c r="O36" s="724"/>
      <c r="P36" s="72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233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558</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8"/>
      <c r="F42" s="738"/>
      <c r="G42" s="738"/>
      <c r="H42" s="738"/>
      <c r="I42" s="738"/>
      <c r="J42" s="738"/>
      <c r="K42" s="738"/>
      <c r="L42" s="738"/>
      <c r="M42" s="738"/>
      <c r="N42" s="738"/>
      <c r="O42" s="738"/>
      <c r="P42" s="738"/>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8"/>
      <c r="E45" s="719"/>
      <c r="F45" s="719"/>
      <c r="G45" s="719"/>
      <c r="H45" s="719"/>
      <c r="I45" s="719"/>
      <c r="J45" s="719"/>
      <c r="K45" s="719"/>
      <c r="L45" s="719"/>
      <c r="M45" s="719"/>
      <c r="N45" s="719"/>
      <c r="O45" s="719"/>
      <c r="P45" s="72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32" t="s">
        <v>18</v>
      </c>
      <c r="G46" s="732"/>
      <c r="H46" s="732"/>
      <c r="I46" s="732"/>
      <c r="J46" s="732"/>
      <c r="K46" s="732"/>
      <c r="L46" s="732"/>
      <c r="M46" s="732"/>
      <c r="N46" s="732"/>
      <c r="O46" s="732"/>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233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558</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3"/>
      <c r="E52" s="734"/>
      <c r="F52" s="734"/>
      <c r="G52" s="734"/>
      <c r="H52" s="734"/>
      <c r="I52" s="734"/>
      <c r="J52" s="734"/>
      <c r="K52" s="734"/>
      <c r="L52" s="734"/>
      <c r="M52" s="734"/>
      <c r="N52" s="734"/>
      <c r="O52" s="734"/>
      <c r="P52" s="735"/>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233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558</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233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8"/>
      <c r="F58" s="738"/>
      <c r="G58" s="738"/>
      <c r="H58" s="738"/>
      <c r="I58" s="738"/>
      <c r="J58" s="738"/>
      <c r="K58" s="738"/>
      <c r="L58" s="738"/>
      <c r="M58" s="738"/>
      <c r="N58" s="738"/>
      <c r="O58" s="738"/>
      <c r="P58" s="738"/>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8"/>
      <c r="E61" s="719"/>
      <c r="F61" s="719"/>
      <c r="G61" s="719"/>
      <c r="H61" s="719"/>
      <c r="I61" s="719"/>
      <c r="J61" s="719"/>
      <c r="K61" s="719"/>
      <c r="L61" s="719"/>
      <c r="M61" s="719"/>
      <c r="N61" s="719"/>
      <c r="O61" s="719"/>
      <c r="P61" s="72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8" t="s">
        <v>18</v>
      </c>
      <c r="G62" s="748"/>
      <c r="H62" s="748"/>
      <c r="I62" s="748"/>
      <c r="J62" s="748"/>
      <c r="K62" s="748"/>
      <c r="L62" s="748"/>
      <c r="M62" s="748"/>
      <c r="N62" s="748"/>
      <c r="O62" s="748"/>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233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558</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233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233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233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3" t="s">
        <v>0</v>
      </c>
      <c r="E68" s="724"/>
      <c r="F68" s="724"/>
      <c r="G68" s="724"/>
      <c r="H68" s="724"/>
      <c r="I68" s="724"/>
      <c r="J68" s="724"/>
      <c r="K68" s="724"/>
      <c r="L68" s="724"/>
      <c r="M68" s="724"/>
      <c r="N68" s="724"/>
      <c r="O68" s="724"/>
      <c r="P68" s="72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8" t="s">
        <v>18</v>
      </c>
      <c r="G69" s="748"/>
      <c r="H69" s="748"/>
      <c r="I69" s="748"/>
      <c r="J69" s="748"/>
      <c r="K69" s="748"/>
      <c r="L69" s="748"/>
      <c r="M69" s="748"/>
      <c r="N69" s="748"/>
      <c r="O69" s="748"/>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233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558</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233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233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233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7"/>
      <c r="F74" s="737"/>
      <c r="G74" s="737"/>
      <c r="H74" s="737"/>
      <c r="I74" s="737"/>
      <c r="J74" s="737"/>
      <c r="K74" s="737"/>
      <c r="L74" s="737"/>
      <c r="M74" s="737"/>
      <c r="N74" s="737"/>
      <c r="O74" s="737"/>
      <c r="P74" s="737"/>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3" t="str">
        <f>"Please suggest process improvements to the "&amp;D2&amp;" worksheet."</f>
        <v>Please suggest process improvements to the Organizational Services worksheet.</v>
      </c>
      <c r="E75" s="643"/>
      <c r="F75" s="643"/>
      <c r="G75" s="643"/>
      <c r="H75" s="643"/>
      <c r="I75" s="643"/>
      <c r="J75" s="64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0"/>
      <c r="E76" s="641"/>
      <c r="F76" s="641"/>
      <c r="G76" s="641"/>
      <c r="H76" s="641"/>
      <c r="I76" s="641"/>
      <c r="J76" s="641"/>
      <c r="K76" s="641"/>
      <c r="L76" s="641"/>
      <c r="M76" s="641"/>
      <c r="N76" s="641"/>
      <c r="O76" s="641"/>
      <c r="P76" s="642"/>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2" t="str">
        <f>R.1MediaAndLongName</f>
        <v>AQ Diesel federal grant align</v>
      </c>
      <c r="F2" s="712"/>
      <c r="G2" s="712"/>
      <c r="H2" s="712"/>
      <c r="I2" s="712"/>
      <c r="J2" s="712"/>
      <c r="K2" s="712"/>
      <c r="L2" s="712"/>
      <c r="M2" s="712"/>
      <c r="N2" s="712"/>
      <c r="O2" s="712"/>
      <c r="P2" s="71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8" t="s">
        <v>57</v>
      </c>
      <c r="N3" s="698"/>
      <c r="O3" s="698"/>
      <c r="P3" s="698"/>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99" t="s">
        <v>54</v>
      </c>
      <c r="G4" s="699"/>
      <c r="H4" s="699"/>
      <c r="I4" s="699"/>
      <c r="J4" s="699"/>
      <c r="K4" s="699"/>
      <c r="L4" s="699"/>
      <c r="M4" s="700" t="str">
        <f>S4</f>
        <v>0</v>
      </c>
      <c r="N4" s="700"/>
      <c r="O4" s="700"/>
      <c r="P4" s="700"/>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99" t="s">
        <v>58</v>
      </c>
      <c r="G5" s="699"/>
      <c r="H5" s="699"/>
      <c r="I5" s="699"/>
      <c r="J5" s="699"/>
      <c r="K5" s="699"/>
      <c r="L5" s="699"/>
      <c r="M5" s="701" t="str">
        <f>S5</f>
        <v>$0</v>
      </c>
      <c r="N5" s="701"/>
      <c r="O5" s="701"/>
      <c r="P5" s="701"/>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9" t="s">
        <v>252</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521</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473</v>
      </c>
      <c r="E9" s="745"/>
      <c r="F9" s="745"/>
      <c r="G9" s="745"/>
      <c r="H9" s="745"/>
      <c r="I9" s="745"/>
      <c r="J9" s="745"/>
      <c r="K9" s="745"/>
      <c r="L9" s="745"/>
      <c r="M9" s="745"/>
      <c r="N9" s="745"/>
      <c r="O9" s="745"/>
      <c r="P9" s="746"/>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32" t="s">
        <v>18</v>
      </c>
      <c r="G14" s="732"/>
      <c r="H14" s="732"/>
      <c r="I14" s="732"/>
      <c r="J14" s="732"/>
      <c r="K14" s="732"/>
      <c r="L14" s="732"/>
      <c r="M14" s="732"/>
      <c r="N14" s="732"/>
      <c r="O14" s="732"/>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233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558</v>
      </c>
      <c r="W15" s="64"/>
      <c r="X15" s="64"/>
      <c r="Y15" s="64"/>
      <c r="Z15" s="64"/>
      <c r="AA15" s="64"/>
      <c r="AB15" s="64"/>
      <c r="AC15" s="64"/>
      <c r="AD15" s="130"/>
      <c r="AE15" s="130"/>
      <c r="AF15" s="130"/>
    </row>
    <row r="16" spans="1:33" s="28" customFormat="1" ht="15.75" hidden="1" customHeight="1" outlineLevel="1">
      <c r="A16" s="117"/>
      <c r="B16" s="334"/>
      <c r="C16" s="138"/>
      <c r="D16" s="36" t="s">
        <v>0</v>
      </c>
      <c r="E16" s="30" t="s">
        <v>233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233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8" t="s">
        <v>18</v>
      </c>
      <c r="G21" s="748"/>
      <c r="H21" s="748"/>
      <c r="I21" s="748"/>
      <c r="J21" s="748"/>
      <c r="K21" s="748"/>
      <c r="L21" s="748"/>
      <c r="M21" s="748"/>
      <c r="N21" s="748"/>
      <c r="O21" s="748"/>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233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row>
    <row r="23" spans="1:32" s="28" customFormat="1" ht="15.75" hidden="1" customHeight="1" outlineLevel="1">
      <c r="A23" s="117"/>
      <c r="B23" s="334"/>
      <c r="C23" s="138"/>
      <c r="D23" s="36"/>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8" t="s">
        <v>18</v>
      </c>
      <c r="G30" s="748"/>
      <c r="H30" s="748"/>
      <c r="I30" s="748"/>
      <c r="J30" s="748"/>
      <c r="K30" s="748"/>
      <c r="L30" s="748"/>
      <c r="M30" s="748"/>
      <c r="N30" s="748"/>
      <c r="O30" s="748"/>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233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558</v>
      </c>
      <c r="W31" s="64"/>
      <c r="X31" s="64"/>
      <c r="Y31" s="64"/>
      <c r="Z31" s="64"/>
      <c r="AA31" s="64"/>
      <c r="AB31" s="64"/>
      <c r="AC31" s="64"/>
      <c r="AD31" s="130"/>
      <c r="AE31" s="130"/>
      <c r="AF31" s="130"/>
    </row>
    <row r="32" spans="1:32" s="28" customFormat="1" ht="15.75" hidden="1" customHeight="1" outlineLevel="1">
      <c r="A32" s="117"/>
      <c r="B32" s="334"/>
      <c r="C32" s="138"/>
      <c r="D32" s="36" t="s">
        <v>0</v>
      </c>
      <c r="E32" s="30" t="s">
        <v>233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233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233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8" t="s">
        <v>18</v>
      </c>
      <c r="G37" s="748"/>
      <c r="H37" s="748"/>
      <c r="I37" s="748"/>
      <c r="J37" s="748"/>
      <c r="K37" s="748"/>
      <c r="L37" s="748"/>
      <c r="M37" s="748"/>
      <c r="N37" s="748"/>
      <c r="O37" s="748"/>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233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558</v>
      </c>
      <c r="W38" s="64"/>
      <c r="X38" s="64"/>
      <c r="Y38" s="64"/>
      <c r="Z38" s="64"/>
      <c r="AA38" s="64"/>
      <c r="AB38" s="64"/>
      <c r="AC38" s="64"/>
      <c r="AD38" s="130"/>
      <c r="AE38" s="130"/>
      <c r="AF38" s="130"/>
    </row>
    <row r="39" spans="1:32" s="28" customFormat="1" ht="15.75" hidden="1" customHeight="1" outlineLevel="1">
      <c r="A39" s="117"/>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32" t="s">
        <v>18</v>
      </c>
      <c r="G46" s="732"/>
      <c r="H46" s="732"/>
      <c r="I46" s="732"/>
      <c r="J46" s="732"/>
      <c r="K46" s="732"/>
      <c r="L46" s="732"/>
      <c r="M46" s="732"/>
      <c r="N46" s="732"/>
      <c r="O46" s="732"/>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233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558</v>
      </c>
      <c r="W47" s="64"/>
      <c r="X47" s="64"/>
      <c r="Y47" s="64"/>
      <c r="Z47" s="64"/>
      <c r="AA47" s="64"/>
      <c r="AB47" s="64"/>
      <c r="AC47" s="64"/>
      <c r="AD47" s="130"/>
      <c r="AE47" s="130"/>
      <c r="AF47" s="130"/>
    </row>
    <row r="48" spans="1:32" s="28" customFormat="1" ht="15.75" hidden="1" customHeight="1" outlineLevel="1">
      <c r="A48" s="117"/>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8" t="s">
        <v>18</v>
      </c>
      <c r="G53" s="748"/>
      <c r="H53" s="748"/>
      <c r="I53" s="748"/>
      <c r="J53" s="748"/>
      <c r="K53" s="748"/>
      <c r="L53" s="748"/>
      <c r="M53" s="748"/>
      <c r="N53" s="748"/>
      <c r="O53" s="748"/>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233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558</v>
      </c>
      <c r="W54" s="64"/>
      <c r="X54" s="64"/>
      <c r="Y54" s="64"/>
      <c r="Z54" s="64"/>
      <c r="AA54" s="64"/>
      <c r="AB54" s="64"/>
      <c r="AC54" s="64"/>
      <c r="AD54" s="130"/>
      <c r="AE54" s="130"/>
      <c r="AF54" s="130"/>
    </row>
    <row r="55" spans="1:32" s="28" customFormat="1" ht="15.75" hidden="1" customHeight="1" outlineLevel="1">
      <c r="A55" s="117"/>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3" t="str">
        <f>"Please suggest process improvements to the "&amp;D2&amp;" worksheet."</f>
        <v>Please suggest process improvements to the Technical Services worksheet.</v>
      </c>
      <c r="E59" s="643"/>
      <c r="F59" s="643"/>
      <c r="G59" s="643"/>
      <c r="H59" s="64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2" t="str">
        <f>R.1MediaAndLongName</f>
        <v>AQ Diesel federal grant align</v>
      </c>
      <c r="F2" s="712"/>
      <c r="G2" s="712"/>
      <c r="H2" s="712"/>
      <c r="I2" s="712"/>
      <c r="J2" s="712"/>
      <c r="K2" s="712"/>
      <c r="L2" s="712"/>
      <c r="M2" s="712"/>
      <c r="N2" s="712"/>
      <c r="O2" s="712"/>
      <c r="P2" s="71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8" t="s">
        <v>57</v>
      </c>
      <c r="N3" s="698"/>
      <c r="O3" s="698"/>
      <c r="P3" s="69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99" t="s">
        <v>54</v>
      </c>
      <c r="G4" s="699"/>
      <c r="H4" s="699"/>
      <c r="I4" s="699"/>
      <c r="J4" s="699"/>
      <c r="K4" s="699"/>
      <c r="L4" s="699"/>
      <c r="M4" s="700" t="str">
        <f>S5</f>
        <v>0</v>
      </c>
      <c r="N4" s="700"/>
      <c r="O4" s="700"/>
      <c r="P4" s="700"/>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99" t="s">
        <v>58</v>
      </c>
      <c r="G5" s="699"/>
      <c r="H5" s="699"/>
      <c r="I5" s="699"/>
      <c r="J5" s="699"/>
      <c r="K5" s="699"/>
      <c r="L5" s="699"/>
      <c r="M5" s="701" t="str">
        <f>S6</f>
        <v>$0</v>
      </c>
      <c r="N5" s="701"/>
      <c r="O5" s="701"/>
      <c r="P5" s="701"/>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9" t="s">
        <v>253</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518</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473</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179</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21" t="s">
        <v>18</v>
      </c>
      <c r="G14" s="721"/>
      <c r="H14" s="721"/>
      <c r="I14" s="721"/>
      <c r="J14" s="721"/>
      <c r="K14" s="721"/>
      <c r="L14" s="721"/>
      <c r="M14" s="721"/>
      <c r="N14" s="721"/>
      <c r="O14" s="721"/>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233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558</v>
      </c>
      <c r="W15" s="64"/>
      <c r="X15" s="64"/>
      <c r="Y15" s="64"/>
      <c r="Z15" s="64"/>
      <c r="AA15" s="64"/>
      <c r="AB15" s="64"/>
      <c r="AC15" s="64"/>
      <c r="AD15" s="130"/>
      <c r="AE15" s="130"/>
      <c r="AF15" s="130"/>
    </row>
    <row r="16" spans="1:33" s="28" customFormat="1" ht="15.75" hidden="1" customHeight="1" outlineLevel="1">
      <c r="A16" s="117"/>
      <c r="B16" s="334"/>
      <c r="C16" s="138"/>
      <c r="D16" s="36" t="s">
        <v>0</v>
      </c>
      <c r="E16" s="30" t="s">
        <v>233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233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233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8"/>
      <c r="E20" s="719"/>
      <c r="F20" s="719"/>
      <c r="G20" s="719"/>
      <c r="H20" s="719"/>
      <c r="I20" s="719"/>
      <c r="J20" s="719"/>
      <c r="K20" s="719"/>
      <c r="L20" s="719"/>
      <c r="M20" s="719"/>
      <c r="N20" s="719"/>
      <c r="O20" s="719"/>
      <c r="P20" s="72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233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row>
    <row r="23" spans="1:32" s="28" customFormat="1" ht="15.75" hidden="1" customHeight="1" outlineLevel="1">
      <c r="A23" s="117"/>
      <c r="B23" s="334"/>
      <c r="C23" s="138"/>
      <c r="D23" s="36"/>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3" t="str">
        <f>"Please suggest process improvements to the "&amp;D2&amp;" worksheet."</f>
        <v>Please suggest process improvements to the Compliance &amp; Enforcement worksheet.</v>
      </c>
      <c r="E27" s="643"/>
      <c r="F27" s="643"/>
      <c r="G27" s="643"/>
      <c r="H27" s="643"/>
      <c r="I27" s="643"/>
      <c r="J27" s="643"/>
      <c r="K27" s="643"/>
      <c r="L27" s="643"/>
      <c r="M27" s="643"/>
      <c r="N27" s="643"/>
      <c r="O27" s="64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0"/>
      <c r="E28" s="641"/>
      <c r="F28" s="641"/>
      <c r="G28" s="641"/>
      <c r="H28" s="641"/>
      <c r="I28" s="641"/>
      <c r="J28" s="641"/>
      <c r="K28" s="641"/>
      <c r="L28" s="641"/>
      <c r="M28" s="641"/>
      <c r="N28" s="641"/>
      <c r="O28" s="641"/>
      <c r="P28" s="642"/>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2" t="str">
        <f>R.1MediaAndLongName</f>
        <v>AQ Diesel federal grant align</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9" t="s">
        <v>84</v>
      </c>
      <c r="E3" s="74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8" t="s">
        <v>57</v>
      </c>
      <c r="N4" s="698"/>
      <c r="O4" s="698"/>
      <c r="P4" s="69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99" t="s">
        <v>54</v>
      </c>
      <c r="G5" s="699"/>
      <c r="H5" s="699"/>
      <c r="I5" s="699"/>
      <c r="J5" s="699"/>
      <c r="K5" s="699"/>
      <c r="L5" s="699"/>
      <c r="M5" s="700" t="str">
        <f>S5</f>
        <v>0</v>
      </c>
      <c r="N5" s="700"/>
      <c r="O5" s="700"/>
      <c r="P5" s="70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99" t="s">
        <v>58</v>
      </c>
      <c r="G6" s="699"/>
      <c r="H6" s="699"/>
      <c r="I6" s="699"/>
      <c r="J6" s="699"/>
      <c r="K6" s="699"/>
      <c r="L6" s="699"/>
      <c r="M6" s="701" t="str">
        <f>S6</f>
        <v>$0</v>
      </c>
      <c r="N6" s="701"/>
      <c r="O6" s="701"/>
      <c r="P6" s="70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9" t="s">
        <v>254</v>
      </c>
      <c r="E8" s="730"/>
      <c r="F8" s="730"/>
      <c r="G8" s="730"/>
      <c r="H8" s="730"/>
      <c r="I8" s="730"/>
      <c r="J8" s="730"/>
      <c r="K8" s="730"/>
      <c r="L8" s="730"/>
      <c r="M8" s="730"/>
      <c r="N8" s="730"/>
      <c r="O8" s="730"/>
      <c r="P8" s="731"/>
      <c r="Q8" s="156"/>
      <c r="R8" s="334"/>
      <c r="S8"/>
      <c r="T8" s="493"/>
      <c r="U8" s="493"/>
      <c r="V8" s="120"/>
      <c r="W8" s="436"/>
      <c r="X8" s="436"/>
      <c r="Y8" s="436"/>
      <c r="Z8" s="436"/>
      <c r="AA8" s="436"/>
      <c r="AB8" s="436"/>
      <c r="AC8" s="436"/>
      <c r="AD8" s="66"/>
      <c r="AE8" s="66"/>
      <c r="AF8" s="66"/>
    </row>
    <row r="9" spans="1:33" s="6" customFormat="1" ht="20.25" customHeight="1">
      <c r="A9" s="316"/>
      <c r="B9" s="334"/>
      <c r="C9" s="155"/>
      <c r="D9" s="747" t="s">
        <v>510</v>
      </c>
      <c r="E9" s="747"/>
      <c r="F9" s="747"/>
      <c r="G9" s="747"/>
      <c r="H9" s="747"/>
      <c r="I9" s="747"/>
      <c r="J9" s="747"/>
      <c r="K9" s="747"/>
      <c r="L9" s="747"/>
      <c r="M9" s="747"/>
      <c r="N9" s="747"/>
      <c r="O9" s="747"/>
      <c r="P9" s="747"/>
      <c r="Q9" s="156"/>
      <c r="R9" s="334"/>
      <c r="T9" s="493"/>
      <c r="U9" s="493"/>
      <c r="V9" s="120"/>
      <c r="W9" s="436"/>
      <c r="X9" s="436"/>
      <c r="Y9" s="436"/>
      <c r="Z9" s="436"/>
      <c r="AA9" s="436"/>
      <c r="AB9" s="436"/>
      <c r="AC9" s="436"/>
      <c r="AD9" s="66"/>
      <c r="AE9" s="66"/>
      <c r="AF9" s="66"/>
    </row>
    <row r="10" spans="1:33" s="28" customFormat="1" ht="15.75" customHeight="1">
      <c r="A10" s="345"/>
      <c r="B10" s="440"/>
      <c r="C10" s="138"/>
      <c r="D10" s="744" t="s">
        <v>473</v>
      </c>
      <c r="E10" s="745"/>
      <c r="F10" s="745"/>
      <c r="G10" s="745"/>
      <c r="H10" s="745"/>
      <c r="I10" s="745"/>
      <c r="J10" s="745"/>
      <c r="K10" s="745"/>
      <c r="L10" s="745"/>
      <c r="M10" s="745"/>
      <c r="N10" s="745"/>
      <c r="O10" s="745"/>
      <c r="P10" s="746"/>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8"/>
      <c r="E14" s="719"/>
      <c r="F14" s="719"/>
      <c r="G14" s="719"/>
      <c r="H14" s="719"/>
      <c r="I14" s="719"/>
      <c r="J14" s="719"/>
      <c r="K14" s="719"/>
      <c r="L14" s="719"/>
      <c r="M14" s="719"/>
      <c r="N14" s="719"/>
      <c r="O14" s="719"/>
      <c r="P14" s="72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32" t="s">
        <v>18</v>
      </c>
      <c r="G15" s="732"/>
      <c r="H15" s="732"/>
      <c r="I15" s="732"/>
      <c r="J15" s="732"/>
      <c r="K15" s="732"/>
      <c r="L15" s="732"/>
      <c r="M15" s="732"/>
      <c r="N15" s="732"/>
      <c r="O15" s="732"/>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233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558</v>
      </c>
      <c r="W16" s="64"/>
      <c r="X16" s="64"/>
      <c r="Y16" s="64"/>
      <c r="Z16" s="64"/>
      <c r="AA16" s="64"/>
      <c r="AB16" s="64"/>
      <c r="AC16" s="64"/>
      <c r="AD16" s="130"/>
      <c r="AE16" s="130"/>
      <c r="AF16" s="130"/>
    </row>
    <row r="17" spans="1:32" s="28" customFormat="1" ht="15.75" hidden="1" customHeight="1" outlineLevel="1">
      <c r="A17" s="117"/>
      <c r="B17" s="334"/>
      <c r="C17" s="138"/>
      <c r="D17" s="542"/>
      <c r="E17" s="30" t="s">
        <v>233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233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233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3"/>
      <c r="E21" s="734"/>
      <c r="F21" s="734"/>
      <c r="G21" s="734"/>
      <c r="H21" s="734"/>
      <c r="I21" s="734"/>
      <c r="J21" s="734"/>
      <c r="K21" s="734"/>
      <c r="L21" s="734"/>
      <c r="M21" s="734"/>
      <c r="N21" s="734"/>
      <c r="O21" s="734"/>
      <c r="P21" s="73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8" t="s">
        <v>18</v>
      </c>
      <c r="G22" s="748"/>
      <c r="H22" s="748"/>
      <c r="I22" s="748"/>
      <c r="J22" s="748"/>
      <c r="K22" s="748"/>
      <c r="L22" s="748"/>
      <c r="M22" s="748"/>
      <c r="N22" s="748"/>
      <c r="O22" s="748"/>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558</v>
      </c>
      <c r="W23" s="64"/>
      <c r="X23" s="64"/>
      <c r="Y23" s="64"/>
      <c r="Z23" s="64"/>
      <c r="AA23" s="64"/>
      <c r="AB23" s="64"/>
      <c r="AC23" s="64"/>
      <c r="AD23" s="130"/>
      <c r="AE23" s="130"/>
      <c r="AF23" s="130"/>
    </row>
    <row r="24" spans="1:32" s="28" customFormat="1" ht="15.75" hidden="1" customHeight="1" outlineLevel="1">
      <c r="A24" s="117"/>
      <c r="B24" s="334"/>
      <c r="C24" s="138"/>
      <c r="D24" s="542"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233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8"/>
      <c r="F27" s="738"/>
      <c r="G27" s="738"/>
      <c r="H27" s="738"/>
      <c r="I27" s="738"/>
      <c r="J27" s="738"/>
      <c r="K27" s="738"/>
      <c r="L27" s="738"/>
      <c r="M27" s="738"/>
      <c r="N27" s="738"/>
      <c r="O27" s="738"/>
      <c r="P27" s="73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8"/>
      <c r="E30" s="719"/>
      <c r="F30" s="719"/>
      <c r="G30" s="719"/>
      <c r="H30" s="719"/>
      <c r="I30" s="719"/>
      <c r="J30" s="719"/>
      <c r="K30" s="719"/>
      <c r="L30" s="719"/>
      <c r="M30" s="719"/>
      <c r="N30" s="719"/>
      <c r="O30" s="719"/>
      <c r="P30" s="72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8" t="s">
        <v>18</v>
      </c>
      <c r="G31" s="748"/>
      <c r="H31" s="748"/>
      <c r="I31" s="748"/>
      <c r="J31" s="748"/>
      <c r="K31" s="748"/>
      <c r="L31" s="748"/>
      <c r="M31" s="748"/>
      <c r="N31" s="748"/>
      <c r="O31" s="748"/>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233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558</v>
      </c>
      <c r="W32" s="64"/>
      <c r="X32" s="64"/>
      <c r="Y32" s="64"/>
      <c r="Z32" s="64"/>
      <c r="AA32" s="64"/>
      <c r="AB32" s="64"/>
      <c r="AC32" s="64"/>
      <c r="AD32" s="130"/>
      <c r="AE32" s="130"/>
      <c r="AF32" s="130"/>
    </row>
    <row r="33" spans="1:32" s="28" customFormat="1" ht="15.75" hidden="1" customHeight="1" outlineLevel="1">
      <c r="A33" s="117"/>
      <c r="B33" s="334"/>
      <c r="C33" s="138"/>
      <c r="D33" s="542" t="s">
        <v>0</v>
      </c>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233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233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3"/>
      <c r="E37" s="724"/>
      <c r="F37" s="724"/>
      <c r="G37" s="724"/>
      <c r="H37" s="724"/>
      <c r="I37" s="724"/>
      <c r="J37" s="724"/>
      <c r="K37" s="724"/>
      <c r="L37" s="724"/>
      <c r="M37" s="724"/>
      <c r="N37" s="724"/>
      <c r="O37" s="724"/>
      <c r="P37" s="72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8" t="s">
        <v>18</v>
      </c>
      <c r="G38" s="748"/>
      <c r="H38" s="748"/>
      <c r="I38" s="748"/>
      <c r="J38" s="748"/>
      <c r="K38" s="748"/>
      <c r="L38" s="748"/>
      <c r="M38" s="748"/>
      <c r="N38" s="748"/>
      <c r="O38" s="748"/>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233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558</v>
      </c>
      <c r="W39" s="64"/>
      <c r="X39" s="64"/>
      <c r="Y39" s="64"/>
      <c r="Z39" s="64"/>
      <c r="AA39" s="64"/>
      <c r="AB39" s="64"/>
      <c r="AC39" s="64"/>
      <c r="AD39" s="130"/>
      <c r="AE39" s="130"/>
      <c r="AF39" s="130"/>
    </row>
    <row r="40" spans="1:32" s="28" customFormat="1" ht="15.75" hidden="1" customHeight="1" outlineLevel="1">
      <c r="A40" s="117"/>
      <c r="B40" s="334"/>
      <c r="C40" s="138"/>
      <c r="D40" s="542"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233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8"/>
      <c r="F43" s="738"/>
      <c r="G43" s="738"/>
      <c r="H43" s="738"/>
      <c r="I43" s="738"/>
      <c r="J43" s="738"/>
      <c r="K43" s="738"/>
      <c r="L43" s="738"/>
      <c r="M43" s="738"/>
      <c r="N43" s="738"/>
      <c r="O43" s="738"/>
      <c r="P43" s="738"/>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8"/>
      <c r="E46" s="719"/>
      <c r="F46" s="719"/>
      <c r="G46" s="719"/>
      <c r="H46" s="719"/>
      <c r="I46" s="719"/>
      <c r="J46" s="719"/>
      <c r="K46" s="719"/>
      <c r="L46" s="719"/>
      <c r="M46" s="719"/>
      <c r="N46" s="719"/>
      <c r="O46" s="719"/>
      <c r="P46" s="72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32" t="s">
        <v>18</v>
      </c>
      <c r="G47" s="732"/>
      <c r="H47" s="732"/>
      <c r="I47" s="732"/>
      <c r="J47" s="732"/>
      <c r="K47" s="732"/>
      <c r="L47" s="732"/>
      <c r="M47" s="732"/>
      <c r="N47" s="732"/>
      <c r="O47" s="732"/>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233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558</v>
      </c>
      <c r="W48" s="64"/>
      <c r="X48" s="64"/>
      <c r="Y48" s="64"/>
      <c r="Z48" s="64"/>
      <c r="AA48" s="64"/>
      <c r="AB48" s="64"/>
      <c r="AC48" s="64"/>
      <c r="AD48" s="130"/>
      <c r="AE48" s="130"/>
      <c r="AF48" s="130"/>
    </row>
    <row r="49" spans="1:32" s="28" customFormat="1" ht="15.75" hidden="1" customHeight="1" outlineLevel="1">
      <c r="A49" s="117"/>
      <c r="B49" s="334"/>
      <c r="C49" s="138"/>
      <c r="D49" s="541"/>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233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3"/>
      <c r="E53" s="734"/>
      <c r="F53" s="734"/>
      <c r="G53" s="734"/>
      <c r="H53" s="734"/>
      <c r="I53" s="734"/>
      <c r="J53" s="734"/>
      <c r="K53" s="734"/>
      <c r="L53" s="734"/>
      <c r="M53" s="734"/>
      <c r="N53" s="734"/>
      <c r="O53" s="734"/>
      <c r="P53" s="73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8" t="s">
        <v>18</v>
      </c>
      <c r="G54" s="748"/>
      <c r="H54" s="748"/>
      <c r="I54" s="748"/>
      <c r="J54" s="748"/>
      <c r="K54" s="748"/>
      <c r="L54" s="748"/>
      <c r="M54" s="748"/>
      <c r="N54" s="748"/>
      <c r="O54" s="748"/>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558</v>
      </c>
      <c r="W55" s="64"/>
      <c r="X55" s="64"/>
      <c r="Y55" s="64"/>
      <c r="Z55" s="64"/>
      <c r="AA55" s="64"/>
      <c r="AB55" s="64"/>
      <c r="AC55" s="64"/>
      <c r="AD55" s="130"/>
      <c r="AE55" s="130"/>
      <c r="AF55" s="130"/>
    </row>
    <row r="56" spans="1:32" s="28" customFormat="1" ht="15.75" hidden="1" customHeight="1" outlineLevel="1">
      <c r="A56" s="117"/>
      <c r="B56" s="334"/>
      <c r="C56" s="138"/>
      <c r="D56" s="541"/>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233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8"/>
      <c r="F59" s="738"/>
      <c r="G59" s="738"/>
      <c r="H59" s="738"/>
      <c r="I59" s="738"/>
      <c r="J59" s="738"/>
      <c r="K59" s="738"/>
      <c r="L59" s="738"/>
      <c r="M59" s="738"/>
      <c r="N59" s="738"/>
      <c r="O59" s="738"/>
      <c r="P59" s="73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3" t="str">
        <f>"Please suggest process improvements to the "&amp;D2&amp;" worksheet."</f>
        <v>Please suggest process improvements to the LEAD worksheet.</v>
      </c>
      <c r="E60" s="64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0"/>
      <c r="E61" s="641"/>
      <c r="F61" s="641"/>
      <c r="G61" s="641"/>
      <c r="H61" s="641"/>
      <c r="I61" s="641"/>
      <c r="J61" s="641"/>
      <c r="K61" s="641"/>
      <c r="L61" s="641"/>
      <c r="M61" s="641"/>
      <c r="N61" s="641"/>
      <c r="O61" s="641"/>
      <c r="P61" s="642"/>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76"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2" t="str">
        <f>R.1MediaAndLongName</f>
        <v>AQ Diesel federal grant align</v>
      </c>
      <c r="F2" s="712"/>
      <c r="G2" s="712"/>
      <c r="H2" s="712"/>
      <c r="I2" s="712"/>
      <c r="J2" s="712"/>
      <c r="K2" s="712"/>
      <c r="L2" s="712"/>
      <c r="M2" s="712"/>
      <c r="N2" s="712"/>
      <c r="O2" s="712"/>
      <c r="P2" s="71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8" t="s">
        <v>57</v>
      </c>
      <c r="N3" s="698"/>
      <c r="O3" s="698"/>
      <c r="P3" s="698"/>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699" t="s">
        <v>54</v>
      </c>
      <c r="G4" s="699"/>
      <c r="H4" s="699"/>
      <c r="I4" s="699"/>
      <c r="J4" s="699"/>
      <c r="K4" s="699"/>
      <c r="L4" s="699"/>
      <c r="M4" s="700" t="str">
        <f>S4</f>
        <v>0</v>
      </c>
      <c r="N4" s="700"/>
      <c r="O4" s="700"/>
      <c r="P4" s="700"/>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99" t="s">
        <v>58</v>
      </c>
      <c r="G5" s="699"/>
      <c r="H5" s="699"/>
      <c r="I5" s="699"/>
      <c r="J5" s="699"/>
      <c r="K5" s="699"/>
      <c r="L5" s="699"/>
      <c r="M5" s="701" t="str">
        <f>S5</f>
        <v>$0</v>
      </c>
      <c r="N5" s="701"/>
      <c r="O5" s="701"/>
      <c r="P5" s="701"/>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9" t="s">
        <v>596</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505</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0</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32" t="s">
        <v>18</v>
      </c>
      <c r="G14" s="732"/>
      <c r="H14" s="732"/>
      <c r="I14" s="732"/>
      <c r="J14" s="732"/>
      <c r="K14" s="732"/>
      <c r="L14" s="732"/>
      <c r="M14" s="732"/>
      <c r="N14" s="732"/>
      <c r="O14" s="732"/>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233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558</v>
      </c>
      <c r="W15" s="64"/>
      <c r="Y15" s="64"/>
      <c r="Z15" s="64"/>
      <c r="AA15" s="64"/>
      <c r="AB15" s="64"/>
      <c r="AC15" s="64"/>
      <c r="AD15" s="130"/>
      <c r="AE15" s="130"/>
      <c r="AF15" s="130"/>
      <c r="AG15" s="130"/>
    </row>
    <row r="16" spans="1:33" s="28" customFormat="1" ht="15.75" hidden="1" customHeight="1" outlineLevel="1">
      <c r="A16" s="117"/>
      <c r="B16" s="334"/>
      <c r="C16" s="138"/>
      <c r="D16" s="36" t="s">
        <v>0</v>
      </c>
      <c r="E16" s="30" t="s">
        <v>233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233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233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8" t="s">
        <v>18</v>
      </c>
      <c r="G21" s="748"/>
      <c r="H21" s="748"/>
      <c r="I21" s="748"/>
      <c r="J21" s="748"/>
      <c r="K21" s="748"/>
      <c r="L21" s="748"/>
      <c r="M21" s="748"/>
      <c r="N21" s="748"/>
      <c r="O21" s="748"/>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233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558</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233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233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233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8" t="s">
        <v>18</v>
      </c>
      <c r="G30" s="748"/>
      <c r="H30" s="748"/>
      <c r="I30" s="748"/>
      <c r="J30" s="748"/>
      <c r="K30" s="748"/>
      <c r="L30" s="748"/>
      <c r="M30" s="748"/>
      <c r="N30" s="748"/>
      <c r="O30" s="748"/>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233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558</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233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8" t="s">
        <v>18</v>
      </c>
      <c r="G37" s="748"/>
      <c r="H37" s="748"/>
      <c r="I37" s="748"/>
      <c r="J37" s="748"/>
      <c r="K37" s="748"/>
      <c r="L37" s="748"/>
      <c r="M37" s="748"/>
      <c r="N37" s="748"/>
      <c r="O37" s="748"/>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233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558</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233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32" t="s">
        <v>18</v>
      </c>
      <c r="G46" s="732"/>
      <c r="H46" s="732"/>
      <c r="I46" s="732"/>
      <c r="J46" s="732"/>
      <c r="K46" s="732"/>
      <c r="L46" s="732"/>
      <c r="M46" s="732"/>
      <c r="N46" s="732"/>
      <c r="O46" s="732"/>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233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558</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8" t="s">
        <v>18</v>
      </c>
      <c r="G53" s="748"/>
      <c r="H53" s="748"/>
      <c r="I53" s="748"/>
      <c r="J53" s="748"/>
      <c r="K53" s="748"/>
      <c r="L53" s="748"/>
      <c r="M53" s="748"/>
      <c r="N53" s="748"/>
      <c r="O53" s="748"/>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233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558</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0"/>
      <c r="E61" s="751"/>
      <c r="F61" s="751"/>
      <c r="G61" s="751"/>
      <c r="H61" s="751"/>
      <c r="I61" s="751"/>
      <c r="J61" s="751"/>
      <c r="K61" s="751"/>
      <c r="L61" s="751"/>
      <c r="M61" s="751"/>
      <c r="N61" s="751"/>
      <c r="O61" s="751"/>
      <c r="P61" s="752"/>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8" t="s">
        <v>18</v>
      </c>
      <c r="G62" s="748"/>
      <c r="H62" s="748"/>
      <c r="I62" s="748"/>
      <c r="J62" s="748"/>
      <c r="K62" s="748"/>
      <c r="L62" s="748"/>
      <c r="M62" s="748"/>
      <c r="N62" s="748"/>
      <c r="O62" s="748"/>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233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558</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233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233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233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3"/>
      <c r="E68" s="724"/>
      <c r="F68" s="724"/>
      <c r="G68" s="724"/>
      <c r="H68" s="724"/>
      <c r="I68" s="724"/>
      <c r="J68" s="724"/>
      <c r="K68" s="724"/>
      <c r="L68" s="724"/>
      <c r="M68" s="724"/>
      <c r="N68" s="724"/>
      <c r="O68" s="724"/>
      <c r="P68" s="72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8" t="s">
        <v>18</v>
      </c>
      <c r="G69" s="748"/>
      <c r="H69" s="748"/>
      <c r="I69" s="748"/>
      <c r="J69" s="748"/>
      <c r="K69" s="748"/>
      <c r="L69" s="748"/>
      <c r="M69" s="748"/>
      <c r="N69" s="748"/>
      <c r="O69" s="748"/>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233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558</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233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233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233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8"/>
      <c r="F74" s="738"/>
      <c r="G74" s="738"/>
      <c r="H74" s="738"/>
      <c r="I74" s="738"/>
      <c r="J74" s="738"/>
      <c r="K74" s="738"/>
      <c r="L74" s="738"/>
      <c r="M74" s="738"/>
      <c r="N74" s="738"/>
      <c r="O74" s="738"/>
      <c r="P74" s="73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8"/>
      <c r="E77" s="719"/>
      <c r="F77" s="719"/>
      <c r="G77" s="719"/>
      <c r="H77" s="719"/>
      <c r="I77" s="719"/>
      <c r="J77" s="719"/>
      <c r="K77" s="719"/>
      <c r="L77" s="719"/>
      <c r="M77" s="719"/>
      <c r="N77" s="719"/>
      <c r="O77" s="719"/>
      <c r="P77" s="72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32" t="s">
        <v>18</v>
      </c>
      <c r="G78" s="732"/>
      <c r="H78" s="732"/>
      <c r="I78" s="732"/>
      <c r="J78" s="732"/>
      <c r="K78" s="732"/>
      <c r="L78" s="732"/>
      <c r="M78" s="732"/>
      <c r="N78" s="732"/>
      <c r="O78" s="732"/>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233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558</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233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233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233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3"/>
      <c r="E84" s="734"/>
      <c r="F84" s="734"/>
      <c r="G84" s="734"/>
      <c r="H84" s="734"/>
      <c r="I84" s="734"/>
      <c r="J84" s="734"/>
      <c r="K84" s="734"/>
      <c r="L84" s="734"/>
      <c r="M84" s="734"/>
      <c r="N84" s="734"/>
      <c r="O84" s="734"/>
      <c r="P84" s="73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8" t="s">
        <v>18</v>
      </c>
      <c r="G85" s="748"/>
      <c r="H85" s="748"/>
      <c r="I85" s="748"/>
      <c r="J85" s="748"/>
      <c r="K85" s="748"/>
      <c r="L85" s="748"/>
      <c r="M85" s="748"/>
      <c r="N85" s="748"/>
      <c r="O85" s="748"/>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233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558</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233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233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233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8"/>
      <c r="F90" s="738"/>
      <c r="G90" s="738"/>
      <c r="H90" s="738"/>
      <c r="I90" s="738"/>
      <c r="J90" s="738"/>
      <c r="K90" s="738"/>
      <c r="L90" s="738"/>
      <c r="M90" s="738"/>
      <c r="N90" s="738"/>
      <c r="O90" s="738"/>
      <c r="P90" s="73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8"/>
      <c r="E93" s="719"/>
      <c r="F93" s="719"/>
      <c r="G93" s="719"/>
      <c r="H93" s="719"/>
      <c r="I93" s="719"/>
      <c r="J93" s="719"/>
      <c r="K93" s="719"/>
      <c r="L93" s="719"/>
      <c r="M93" s="719"/>
      <c r="N93" s="719"/>
      <c r="O93" s="719"/>
      <c r="P93" s="72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8" t="s">
        <v>18</v>
      </c>
      <c r="G94" s="748"/>
      <c r="H94" s="748"/>
      <c r="I94" s="748"/>
      <c r="J94" s="748"/>
      <c r="K94" s="748"/>
      <c r="L94" s="748"/>
      <c r="M94" s="748"/>
      <c r="N94" s="748"/>
      <c r="O94" s="748"/>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597</v>
      </c>
      <c r="E95" s="30" t="s">
        <v>233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558</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233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233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233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3"/>
      <c r="E100" s="724"/>
      <c r="F100" s="724"/>
      <c r="G100" s="724"/>
      <c r="H100" s="724"/>
      <c r="I100" s="724"/>
      <c r="J100" s="724"/>
      <c r="K100" s="724"/>
      <c r="L100" s="724"/>
      <c r="M100" s="724"/>
      <c r="N100" s="724"/>
      <c r="O100" s="724"/>
      <c r="P100" s="72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8" t="s">
        <v>18</v>
      </c>
      <c r="G101" s="748"/>
      <c r="H101" s="748"/>
      <c r="I101" s="748"/>
      <c r="J101" s="748"/>
      <c r="K101" s="748"/>
      <c r="L101" s="748"/>
      <c r="M101" s="748"/>
      <c r="N101" s="748"/>
      <c r="O101" s="748"/>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233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558</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233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233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233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8"/>
      <c r="F106" s="738"/>
      <c r="G106" s="738"/>
      <c r="H106" s="738"/>
      <c r="I106" s="738"/>
      <c r="J106" s="738"/>
      <c r="K106" s="738"/>
      <c r="L106" s="738"/>
      <c r="M106" s="738"/>
      <c r="N106" s="738"/>
      <c r="O106" s="738"/>
      <c r="P106" s="73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3" t="str">
        <f>"Please suggest process improvements to the "&amp;D2&amp;" worksheet."</f>
        <v>Please suggest process improvements to the Intergovernmental worksheet.</v>
      </c>
      <c r="E107" s="643"/>
      <c r="F107" s="643"/>
      <c r="G107" s="643"/>
      <c r="H107" s="64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0"/>
      <c r="E108" s="641"/>
      <c r="F108" s="641"/>
      <c r="G108" s="641"/>
      <c r="H108" s="641"/>
      <c r="I108" s="641"/>
      <c r="J108" s="641"/>
      <c r="K108" s="641"/>
      <c r="L108" s="641"/>
      <c r="M108" s="641"/>
      <c r="N108" s="641"/>
      <c r="O108" s="641"/>
      <c r="P108" s="642"/>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2" t="str">
        <f>R.1MediaAndLongName</f>
        <v>AQ Diesel federal grant align</v>
      </c>
      <c r="F2" s="712"/>
      <c r="G2" s="712"/>
      <c r="H2" s="712"/>
      <c r="I2" s="712"/>
      <c r="J2" s="712"/>
      <c r="K2" s="712"/>
      <c r="L2" s="712"/>
      <c r="M2" s="712"/>
      <c r="N2" s="712"/>
      <c r="O2" s="712"/>
      <c r="P2" s="71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8" t="s">
        <v>57</v>
      </c>
      <c r="N3" s="698"/>
      <c r="O3" s="698"/>
      <c r="P3" s="69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99" t="s">
        <v>54</v>
      </c>
      <c r="G4" s="699"/>
      <c r="H4" s="699"/>
      <c r="I4" s="699"/>
      <c r="J4" s="699"/>
      <c r="K4" s="699"/>
      <c r="L4" s="699"/>
      <c r="M4" s="700" t="str">
        <f>T4</f>
        <v>0</v>
      </c>
      <c r="N4" s="700"/>
      <c r="O4" s="700"/>
      <c r="P4" s="70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99" t="s">
        <v>58</v>
      </c>
      <c r="G5" s="699"/>
      <c r="H5" s="699"/>
      <c r="I5" s="699"/>
      <c r="J5" s="699"/>
      <c r="K5" s="699"/>
      <c r="L5" s="699"/>
      <c r="M5" s="701" t="str">
        <f>T5</f>
        <v>$0</v>
      </c>
      <c r="N5" s="701"/>
      <c r="O5" s="701"/>
      <c r="P5" s="70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3"/>
      <c r="E7" s="694"/>
      <c r="F7" s="694"/>
      <c r="G7" s="694"/>
      <c r="H7" s="694"/>
      <c r="I7" s="694"/>
      <c r="J7" s="694"/>
      <c r="K7" s="694"/>
      <c r="L7" s="694"/>
      <c r="M7" s="694"/>
      <c r="N7" s="694"/>
      <c r="O7" s="694"/>
      <c r="P7" s="695"/>
      <c r="Q7" s="158"/>
      <c r="R7" s="334"/>
      <c r="S7" s="125"/>
      <c r="T7" s="711" t="s">
        <v>0</v>
      </c>
      <c r="U7" s="711"/>
      <c r="V7" s="71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8"/>
      <c r="E11" s="719"/>
      <c r="F11" s="719"/>
      <c r="G11" s="719"/>
      <c r="H11" s="719"/>
      <c r="I11" s="719"/>
      <c r="J11" s="719"/>
      <c r="K11" s="719"/>
      <c r="L11" s="719"/>
      <c r="M11" s="719"/>
      <c r="N11" s="719"/>
      <c r="O11" s="719"/>
      <c r="P11" s="72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32" t="s">
        <v>18</v>
      </c>
      <c r="G12" s="732"/>
      <c r="H12" s="732"/>
      <c r="I12" s="732"/>
      <c r="J12" s="732"/>
      <c r="K12" s="732"/>
      <c r="L12" s="732"/>
      <c r="M12" s="732"/>
      <c r="N12" s="732"/>
      <c r="O12" s="732"/>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233</v>
      </c>
      <c r="F13" s="71">
        <v>1</v>
      </c>
      <c r="G13" s="72">
        <v>2</v>
      </c>
      <c r="H13" s="73">
        <v>3</v>
      </c>
      <c r="I13" s="74">
        <v>4</v>
      </c>
      <c r="J13" s="75">
        <v>5</v>
      </c>
      <c r="K13" s="76">
        <v>6</v>
      </c>
      <c r="L13" s="77">
        <v>7</v>
      </c>
      <c r="M13" s="78">
        <v>8</v>
      </c>
      <c r="N13" s="79">
        <v>9</v>
      </c>
      <c r="O13" s="80">
        <v>10</v>
      </c>
      <c r="P13" s="32"/>
      <c r="Q13" s="139"/>
      <c r="R13" s="334"/>
      <c r="S13" s="575" t="s">
        <v>558</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233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233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233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3"/>
      <c r="E18" s="734"/>
      <c r="F18" s="734"/>
      <c r="G18" s="734"/>
      <c r="H18" s="734"/>
      <c r="I18" s="734"/>
      <c r="J18" s="734"/>
      <c r="K18" s="734"/>
      <c r="L18" s="734"/>
      <c r="M18" s="734"/>
      <c r="N18" s="734"/>
      <c r="O18" s="734"/>
      <c r="P18" s="73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8" t="s">
        <v>18</v>
      </c>
      <c r="G19" s="748"/>
      <c r="H19" s="748"/>
      <c r="I19" s="748"/>
      <c r="J19" s="748"/>
      <c r="K19" s="748"/>
      <c r="L19" s="748"/>
      <c r="M19" s="748"/>
      <c r="N19" s="748"/>
      <c r="O19" s="748"/>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233</v>
      </c>
      <c r="F20" s="71">
        <v>1</v>
      </c>
      <c r="G20" s="72">
        <v>2</v>
      </c>
      <c r="H20" s="73">
        <v>3</v>
      </c>
      <c r="I20" s="74">
        <v>4</v>
      </c>
      <c r="J20" s="75">
        <v>5</v>
      </c>
      <c r="K20" s="76">
        <v>6</v>
      </c>
      <c r="L20" s="77">
        <v>7</v>
      </c>
      <c r="M20" s="78">
        <v>8</v>
      </c>
      <c r="N20" s="79">
        <v>9</v>
      </c>
      <c r="O20" s="80">
        <v>10</v>
      </c>
      <c r="P20" s="32" t="s">
        <v>0</v>
      </c>
      <c r="Q20" s="139"/>
      <c r="R20" s="334"/>
      <c r="S20" s="575" t="s">
        <v>558</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233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233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233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8"/>
      <c r="F24" s="738"/>
      <c r="G24" s="738"/>
      <c r="H24" s="738"/>
      <c r="I24" s="738"/>
      <c r="J24" s="738"/>
      <c r="K24" s="738"/>
      <c r="L24" s="738"/>
      <c r="M24" s="738"/>
      <c r="N24" s="738"/>
      <c r="O24" s="738"/>
      <c r="P24" s="73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8"/>
      <c r="E27" s="719"/>
      <c r="F27" s="719"/>
      <c r="G27" s="719"/>
      <c r="H27" s="719"/>
      <c r="I27" s="719"/>
      <c r="J27" s="719"/>
      <c r="K27" s="719"/>
      <c r="L27" s="719"/>
      <c r="M27" s="719"/>
      <c r="N27" s="719"/>
      <c r="O27" s="719"/>
      <c r="P27" s="72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8" t="s">
        <v>18</v>
      </c>
      <c r="G28" s="748"/>
      <c r="H28" s="748"/>
      <c r="I28" s="748"/>
      <c r="J28" s="748"/>
      <c r="K28" s="748"/>
      <c r="L28" s="748"/>
      <c r="M28" s="748"/>
      <c r="N28" s="748"/>
      <c r="O28" s="748"/>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233</v>
      </c>
      <c r="F29" s="71">
        <v>1</v>
      </c>
      <c r="G29" s="72">
        <v>2</v>
      </c>
      <c r="H29" s="73">
        <v>3</v>
      </c>
      <c r="I29" s="74">
        <v>4</v>
      </c>
      <c r="J29" s="75">
        <v>5</v>
      </c>
      <c r="K29" s="76">
        <v>6</v>
      </c>
      <c r="L29" s="77">
        <v>7</v>
      </c>
      <c r="M29" s="78">
        <v>8</v>
      </c>
      <c r="N29" s="79">
        <v>9</v>
      </c>
      <c r="O29" s="80">
        <v>10</v>
      </c>
      <c r="P29" s="32"/>
      <c r="Q29" s="139"/>
      <c r="R29" s="334"/>
      <c r="S29" s="575" t="s">
        <v>558</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233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233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233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3"/>
      <c r="E34" s="724"/>
      <c r="F34" s="724"/>
      <c r="G34" s="724"/>
      <c r="H34" s="724"/>
      <c r="I34" s="724"/>
      <c r="J34" s="724"/>
      <c r="K34" s="724"/>
      <c r="L34" s="724"/>
      <c r="M34" s="724"/>
      <c r="N34" s="724"/>
      <c r="O34" s="724"/>
      <c r="P34" s="72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8" t="s">
        <v>18</v>
      </c>
      <c r="G35" s="748"/>
      <c r="H35" s="748"/>
      <c r="I35" s="748"/>
      <c r="J35" s="748"/>
      <c r="K35" s="748"/>
      <c r="L35" s="748"/>
      <c r="M35" s="748"/>
      <c r="N35" s="748"/>
      <c r="O35" s="748"/>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233</v>
      </c>
      <c r="F36" s="71">
        <v>1</v>
      </c>
      <c r="G36" s="72">
        <v>2</v>
      </c>
      <c r="H36" s="73">
        <v>3</v>
      </c>
      <c r="I36" s="74">
        <v>4</v>
      </c>
      <c r="J36" s="75">
        <v>5</v>
      </c>
      <c r="K36" s="76">
        <v>6</v>
      </c>
      <c r="L36" s="77">
        <v>7</v>
      </c>
      <c r="M36" s="78">
        <v>8</v>
      </c>
      <c r="N36" s="79">
        <v>9</v>
      </c>
      <c r="O36" s="80">
        <v>10</v>
      </c>
      <c r="P36" s="32"/>
      <c r="Q36" s="139"/>
      <c r="R36" s="334"/>
      <c r="S36" s="575" t="s">
        <v>558</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233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233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8"/>
      <c r="F40" s="738"/>
      <c r="G40" s="738"/>
      <c r="H40" s="738"/>
      <c r="I40" s="738"/>
      <c r="J40" s="738"/>
      <c r="K40" s="738"/>
      <c r="L40" s="738"/>
      <c r="M40" s="738"/>
      <c r="N40" s="738"/>
      <c r="O40" s="738"/>
      <c r="P40" s="73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8"/>
      <c r="E43" s="719"/>
      <c r="F43" s="719"/>
      <c r="G43" s="719"/>
      <c r="H43" s="719"/>
      <c r="I43" s="719"/>
      <c r="J43" s="719"/>
      <c r="K43" s="719"/>
      <c r="L43" s="719"/>
      <c r="M43" s="719"/>
      <c r="N43" s="719"/>
      <c r="O43" s="719"/>
      <c r="P43" s="72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32" t="s">
        <v>18</v>
      </c>
      <c r="G44" s="732"/>
      <c r="H44" s="732"/>
      <c r="I44" s="732"/>
      <c r="J44" s="732"/>
      <c r="K44" s="732"/>
      <c r="L44" s="732"/>
      <c r="M44" s="732"/>
      <c r="N44" s="732"/>
      <c r="O44" s="732"/>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233</v>
      </c>
      <c r="F45" s="71">
        <v>1</v>
      </c>
      <c r="G45" s="72">
        <v>2</v>
      </c>
      <c r="H45" s="73">
        <v>3</v>
      </c>
      <c r="I45" s="74">
        <v>4</v>
      </c>
      <c r="J45" s="75">
        <v>5</v>
      </c>
      <c r="K45" s="76">
        <v>6</v>
      </c>
      <c r="L45" s="77">
        <v>7</v>
      </c>
      <c r="M45" s="78">
        <v>8</v>
      </c>
      <c r="N45" s="79">
        <v>9</v>
      </c>
      <c r="O45" s="80">
        <v>10</v>
      </c>
      <c r="P45" s="32" t="s">
        <v>0</v>
      </c>
      <c r="Q45" s="139"/>
      <c r="R45" s="334"/>
      <c r="S45" s="575" t="s">
        <v>558</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233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233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3"/>
      <c r="E50" s="734"/>
      <c r="F50" s="734"/>
      <c r="G50" s="734"/>
      <c r="H50" s="734"/>
      <c r="I50" s="734"/>
      <c r="J50" s="734"/>
      <c r="K50" s="734"/>
      <c r="L50" s="734"/>
      <c r="M50" s="734"/>
      <c r="N50" s="734"/>
      <c r="O50" s="734"/>
      <c r="P50" s="73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8" t="s">
        <v>18</v>
      </c>
      <c r="G51" s="748"/>
      <c r="H51" s="748"/>
      <c r="I51" s="748"/>
      <c r="J51" s="748"/>
      <c r="K51" s="748"/>
      <c r="L51" s="748"/>
      <c r="M51" s="748"/>
      <c r="N51" s="748"/>
      <c r="O51" s="748"/>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233</v>
      </c>
      <c r="F52" s="71">
        <v>1</v>
      </c>
      <c r="G52" s="72">
        <v>2</v>
      </c>
      <c r="H52" s="73">
        <v>3</v>
      </c>
      <c r="I52" s="74">
        <v>4</v>
      </c>
      <c r="J52" s="75">
        <v>5</v>
      </c>
      <c r="K52" s="76">
        <v>6</v>
      </c>
      <c r="L52" s="77">
        <v>7</v>
      </c>
      <c r="M52" s="78">
        <v>8</v>
      </c>
      <c r="N52" s="79">
        <v>9</v>
      </c>
      <c r="O52" s="80">
        <v>10</v>
      </c>
      <c r="P52" s="32" t="s">
        <v>0</v>
      </c>
      <c r="Q52" s="139"/>
      <c r="R52" s="334"/>
      <c r="S52" s="575" t="s">
        <v>558</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233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233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8"/>
      <c r="F56" s="738"/>
      <c r="G56" s="738"/>
      <c r="H56" s="738"/>
      <c r="I56" s="738"/>
      <c r="J56" s="738"/>
      <c r="K56" s="738"/>
      <c r="L56" s="738"/>
      <c r="M56" s="738"/>
      <c r="N56" s="738"/>
      <c r="O56" s="738"/>
      <c r="P56" s="73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248</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8"/>
      <c r="E59" s="719"/>
      <c r="F59" s="719"/>
      <c r="G59" s="719"/>
      <c r="H59" s="719"/>
      <c r="I59" s="719"/>
      <c r="J59" s="719"/>
      <c r="K59" s="719"/>
      <c r="L59" s="719"/>
      <c r="M59" s="719"/>
      <c r="N59" s="719"/>
      <c r="O59" s="719"/>
      <c r="P59" s="72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8" t="s">
        <v>18</v>
      </c>
      <c r="G60" s="748"/>
      <c r="H60" s="748"/>
      <c r="I60" s="748"/>
      <c r="J60" s="748"/>
      <c r="K60" s="748"/>
      <c r="L60" s="748"/>
      <c r="M60" s="748"/>
      <c r="N60" s="748"/>
      <c r="O60" s="748"/>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233</v>
      </c>
      <c r="F61" s="71">
        <v>1</v>
      </c>
      <c r="G61" s="72">
        <v>2</v>
      </c>
      <c r="H61" s="73">
        <v>3</v>
      </c>
      <c r="I61" s="74">
        <v>4</v>
      </c>
      <c r="J61" s="75">
        <v>5</v>
      </c>
      <c r="K61" s="76">
        <v>6</v>
      </c>
      <c r="L61" s="77">
        <v>7</v>
      </c>
      <c r="M61" s="78">
        <v>8</v>
      </c>
      <c r="N61" s="79">
        <v>9</v>
      </c>
      <c r="O61" s="80">
        <v>10</v>
      </c>
      <c r="P61" s="32"/>
      <c r="Q61" s="139"/>
      <c r="R61" s="334"/>
      <c r="S61" s="575" t="s">
        <v>558</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233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233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233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3"/>
      <c r="E66" s="724"/>
      <c r="F66" s="724"/>
      <c r="G66" s="724"/>
      <c r="H66" s="724"/>
      <c r="I66" s="724"/>
      <c r="J66" s="724"/>
      <c r="K66" s="724"/>
      <c r="L66" s="724"/>
      <c r="M66" s="724"/>
      <c r="N66" s="724"/>
      <c r="O66" s="724"/>
      <c r="P66" s="72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8" t="s">
        <v>18</v>
      </c>
      <c r="G67" s="748"/>
      <c r="H67" s="748"/>
      <c r="I67" s="748"/>
      <c r="J67" s="748"/>
      <c r="K67" s="748"/>
      <c r="L67" s="748"/>
      <c r="M67" s="748"/>
      <c r="N67" s="748"/>
      <c r="O67" s="748"/>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233</v>
      </c>
      <c r="F68" s="71">
        <v>1</v>
      </c>
      <c r="G68" s="72">
        <v>2</v>
      </c>
      <c r="H68" s="73">
        <v>3</v>
      </c>
      <c r="I68" s="74">
        <v>4</v>
      </c>
      <c r="J68" s="75">
        <v>5</v>
      </c>
      <c r="K68" s="76">
        <v>6</v>
      </c>
      <c r="L68" s="77">
        <v>7</v>
      </c>
      <c r="M68" s="78">
        <v>8</v>
      </c>
      <c r="N68" s="79">
        <v>9</v>
      </c>
      <c r="O68" s="80">
        <v>10</v>
      </c>
      <c r="P68" s="32" t="s">
        <v>0</v>
      </c>
      <c r="Q68" s="139"/>
      <c r="R68" s="334"/>
      <c r="S68" s="575" t="s">
        <v>558</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233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233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233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8"/>
      <c r="F72" s="738"/>
      <c r="G72" s="738"/>
      <c r="H72" s="738"/>
      <c r="I72" s="738"/>
      <c r="J72" s="738"/>
      <c r="K72" s="738"/>
      <c r="L72" s="738"/>
      <c r="M72" s="738"/>
      <c r="N72" s="738"/>
      <c r="O72" s="738"/>
      <c r="P72" s="73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3" t="str">
        <f>"Please suggest process improvements to the "&amp;D2&amp;" worksheet."</f>
        <v>Please suggest process improvements to the Custom Participants worksheet.</v>
      </c>
      <c r="E73" s="643"/>
      <c r="F73" s="643"/>
      <c r="G73" s="643"/>
      <c r="H73" s="64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0"/>
      <c r="E74" s="641"/>
      <c r="F74" s="641"/>
      <c r="G74" s="641"/>
      <c r="H74" s="641"/>
      <c r="I74" s="641"/>
      <c r="J74" s="641"/>
      <c r="K74" s="641"/>
      <c r="L74" s="641"/>
      <c r="M74" s="641"/>
      <c r="N74" s="641"/>
      <c r="O74" s="641"/>
      <c r="P74" s="642"/>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3" t="s">
        <v>328</v>
      </c>
      <c r="B1" s="603"/>
      <c r="C1" s="603"/>
      <c r="D1" s="603"/>
      <c r="E1" s="603"/>
      <c r="F1" s="603"/>
      <c r="G1" s="603"/>
      <c r="H1" s="564"/>
      <c r="I1" s="564"/>
      <c r="J1" s="604" t="s">
        <v>329</v>
      </c>
      <c r="K1" s="604"/>
      <c r="L1" s="604"/>
      <c r="M1" s="604"/>
      <c r="N1" s="604"/>
      <c r="O1" s="604"/>
      <c r="P1" s="604"/>
      <c r="Q1" s="604"/>
      <c r="R1" s="604"/>
      <c r="S1" s="604"/>
      <c r="T1" s="604"/>
      <c r="U1" s="604"/>
      <c r="V1" s="604"/>
      <c r="W1" s="604"/>
      <c r="X1" s="604"/>
      <c r="Y1" s="604"/>
      <c r="Z1" s="604"/>
      <c r="AA1" s="604"/>
      <c r="AB1" s="604"/>
      <c r="AC1" s="604"/>
      <c r="AD1" s="604"/>
      <c r="AE1" s="604"/>
      <c r="AF1" s="565"/>
      <c r="AG1" s="565"/>
      <c r="AH1" s="565"/>
      <c r="AI1" s="565"/>
    </row>
    <row r="2" spans="1:35">
      <c r="A2" s="566" t="s">
        <v>330</v>
      </c>
      <c r="B2" s="543" t="s">
        <v>331</v>
      </c>
      <c r="C2" s="567" t="s">
        <v>332</v>
      </c>
      <c r="D2" s="444" t="s">
        <v>212</v>
      </c>
      <c r="E2" s="444" t="s">
        <v>258</v>
      </c>
      <c r="F2" s="543" t="s">
        <v>333</v>
      </c>
      <c r="G2" s="568" t="s">
        <v>334</v>
      </c>
      <c r="H2" s="568" t="s">
        <v>335</v>
      </c>
      <c r="I2" s="568" t="s">
        <v>470</v>
      </c>
      <c r="J2" s="567" t="s">
        <v>336</v>
      </c>
      <c r="K2" s="444" t="s">
        <v>337</v>
      </c>
      <c r="L2" s="444" t="s">
        <v>338</v>
      </c>
      <c r="M2" s="543" t="s">
        <v>339</v>
      </c>
      <c r="N2" s="543" t="s">
        <v>340</v>
      </c>
      <c r="O2" s="543" t="s">
        <v>341</v>
      </c>
      <c r="P2" s="543" t="s">
        <v>342</v>
      </c>
      <c r="Q2" s="543" t="s">
        <v>343</v>
      </c>
      <c r="R2" s="543" t="s">
        <v>344</v>
      </c>
      <c r="S2" s="543" t="s">
        <v>345</v>
      </c>
      <c r="T2" s="543" t="s">
        <v>346</v>
      </c>
      <c r="U2" s="543" t="s">
        <v>347</v>
      </c>
      <c r="V2" s="543" t="s">
        <v>348</v>
      </c>
      <c r="W2" s="543" t="s">
        <v>349</v>
      </c>
      <c r="X2" s="543" t="s">
        <v>350</v>
      </c>
      <c r="Y2" s="543" t="s">
        <v>351</v>
      </c>
      <c r="Z2" s="543" t="s">
        <v>352</v>
      </c>
      <c r="AA2" s="543" t="s">
        <v>353</v>
      </c>
      <c r="AB2" s="543" t="s">
        <v>354</v>
      </c>
      <c r="AC2" s="543" t="s">
        <v>355</v>
      </c>
      <c r="AD2" s="543" t="s">
        <v>356</v>
      </c>
      <c r="AE2" s="543" t="s">
        <v>357</v>
      </c>
      <c r="AF2" s="543" t="s">
        <v>358</v>
      </c>
      <c r="AG2" s="543" t="s">
        <v>359</v>
      </c>
      <c r="AH2" s="543" t="s">
        <v>360</v>
      </c>
      <c r="AI2" s="543" t="s">
        <v>361</v>
      </c>
    </row>
    <row r="3" spans="1:35" ht="28.5" hidden="1">
      <c r="A3" s="569">
        <v>1</v>
      </c>
      <c r="B3" s="37">
        <v>1</v>
      </c>
      <c r="C3" s="570">
        <v>41144</v>
      </c>
      <c r="D3" s="560" t="s">
        <v>362</v>
      </c>
      <c r="E3" s="578" t="s">
        <v>368</v>
      </c>
      <c r="F3" s="499" t="s">
        <v>363</v>
      </c>
      <c r="G3" s="571" t="s">
        <v>364</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362</v>
      </c>
      <c r="E4" s="560" t="s">
        <v>368</v>
      </c>
      <c r="F4" s="499" t="s">
        <v>365</v>
      </c>
      <c r="G4" s="571" t="s">
        <v>366</v>
      </c>
      <c r="H4" s="571" t="s">
        <v>367</v>
      </c>
      <c r="I4" s="571" t="str">
        <f>Table1[[#This Row],[Staff]]</f>
        <v>Nicole</v>
      </c>
      <c r="J4" s="570">
        <f>Table1[[#This Row],[Date]]</f>
        <v>41144</v>
      </c>
      <c r="K4" s="526"/>
      <c r="L4" s="526"/>
    </row>
    <row r="5" spans="1:35" hidden="1">
      <c r="A5" s="569">
        <v>1</v>
      </c>
      <c r="B5" s="37">
        <v>3</v>
      </c>
      <c r="C5" s="570">
        <v>41144</v>
      </c>
      <c r="D5" s="560" t="s">
        <v>362</v>
      </c>
      <c r="E5" s="560" t="s">
        <v>369</v>
      </c>
      <c r="F5" s="499" t="s">
        <v>370</v>
      </c>
      <c r="G5" s="571" t="s">
        <v>371</v>
      </c>
      <c r="H5" s="571" t="s">
        <v>372</v>
      </c>
      <c r="I5" s="571" t="str">
        <f>Table1[[#This Row],[Staff]]</f>
        <v>Nicole</v>
      </c>
      <c r="J5" s="570">
        <f>Table1[[#This Row],[Date]]</f>
        <v>41144</v>
      </c>
      <c r="K5" s="526"/>
      <c r="L5" s="526"/>
    </row>
    <row r="6" spans="1:35" ht="28.5" hidden="1">
      <c r="A6" s="569">
        <v>1</v>
      </c>
      <c r="B6" s="37">
        <v>4</v>
      </c>
      <c r="C6" s="570">
        <v>41144</v>
      </c>
      <c r="D6" s="560" t="s">
        <v>362</v>
      </c>
      <c r="E6" s="560" t="s">
        <v>369</v>
      </c>
      <c r="F6" s="499" t="s">
        <v>373</v>
      </c>
      <c r="G6" s="571" t="s">
        <v>374</v>
      </c>
      <c r="H6" s="571" t="s">
        <v>375</v>
      </c>
      <c r="I6" s="571" t="str">
        <f>Table1[[#This Row],[Staff]]</f>
        <v>Nicole</v>
      </c>
      <c r="J6" s="570">
        <f>Table1[[#This Row],[Date]]</f>
        <v>41144</v>
      </c>
      <c r="K6" s="526"/>
      <c r="L6" s="526"/>
    </row>
    <row r="7" spans="1:35" hidden="1">
      <c r="A7" s="569">
        <v>1</v>
      </c>
      <c r="B7" s="37">
        <v>5</v>
      </c>
      <c r="C7" s="570">
        <v>41144</v>
      </c>
      <c r="D7" s="560" t="s">
        <v>362</v>
      </c>
      <c r="E7" s="560" t="s">
        <v>160</v>
      </c>
      <c r="F7" s="499" t="s">
        <v>370</v>
      </c>
      <c r="G7" s="571" t="s">
        <v>371</v>
      </c>
      <c r="H7" s="571" t="s">
        <v>384</v>
      </c>
      <c r="I7" s="571" t="str">
        <f>Table1[[#This Row],[Staff]]</f>
        <v>Nicole</v>
      </c>
      <c r="J7" s="570">
        <f>Table1[[#This Row],[Date]]</f>
        <v>41144</v>
      </c>
      <c r="K7" s="526"/>
      <c r="L7" s="526"/>
    </row>
    <row r="8" spans="1:35" hidden="1">
      <c r="A8" s="569">
        <v>1</v>
      </c>
      <c r="B8" s="37">
        <v>6</v>
      </c>
      <c r="C8" s="570">
        <v>41144</v>
      </c>
      <c r="D8" s="560" t="s">
        <v>362</v>
      </c>
      <c r="E8" s="560" t="s">
        <v>160</v>
      </c>
      <c r="F8" s="499" t="s">
        <v>376</v>
      </c>
      <c r="G8" s="571" t="s">
        <v>380</v>
      </c>
      <c r="H8" s="571" t="s">
        <v>377</v>
      </c>
      <c r="I8" s="571" t="str">
        <f>Table1[[#This Row],[Staff]]</f>
        <v>Nicole</v>
      </c>
      <c r="J8" s="570">
        <f>Table1[[#This Row],[Date]]</f>
        <v>41144</v>
      </c>
      <c r="K8" s="526"/>
      <c r="L8" s="526"/>
    </row>
    <row r="9" spans="1:35" hidden="1">
      <c r="A9" s="569">
        <v>1</v>
      </c>
      <c r="B9" s="37">
        <v>7</v>
      </c>
      <c r="C9" s="570">
        <v>41144</v>
      </c>
      <c r="D9" s="560" t="s">
        <v>362</v>
      </c>
      <c r="E9" s="560" t="s">
        <v>378</v>
      </c>
      <c r="F9" s="499" t="s">
        <v>370</v>
      </c>
      <c r="G9" s="571" t="s">
        <v>371</v>
      </c>
      <c r="H9" s="571" t="s">
        <v>384</v>
      </c>
      <c r="I9" s="571" t="str">
        <f>Table1[[#This Row],[Staff]]</f>
        <v>Nicole</v>
      </c>
      <c r="J9" s="570">
        <f>Table1[[#This Row],[Date]]</f>
        <v>41144</v>
      </c>
      <c r="K9" s="526"/>
      <c r="L9" s="526"/>
    </row>
    <row r="10" spans="1:35" hidden="1">
      <c r="A10" s="569">
        <v>1</v>
      </c>
      <c r="B10" s="37">
        <v>8</v>
      </c>
      <c r="C10" s="570">
        <v>41144</v>
      </c>
      <c r="D10" s="560" t="s">
        <v>362</v>
      </c>
      <c r="E10" s="560" t="s">
        <v>8</v>
      </c>
      <c r="F10" s="499" t="s">
        <v>370</v>
      </c>
      <c r="G10" s="571" t="s">
        <v>371</v>
      </c>
      <c r="H10" s="571" t="s">
        <v>384</v>
      </c>
      <c r="I10" s="571" t="str">
        <f>Table1[[#This Row],[Staff]]</f>
        <v>Nicole</v>
      </c>
      <c r="J10" s="570">
        <f>Table1[[#This Row],[Date]]</f>
        <v>41144</v>
      </c>
      <c r="K10" s="526"/>
      <c r="L10" s="526"/>
    </row>
    <row r="11" spans="1:35" hidden="1">
      <c r="A11" s="569">
        <v>1</v>
      </c>
      <c r="B11" s="37">
        <v>9</v>
      </c>
      <c r="C11" s="570">
        <v>41144</v>
      </c>
      <c r="D11" s="560" t="s">
        <v>362</v>
      </c>
      <c r="E11" s="560" t="s">
        <v>8</v>
      </c>
      <c r="F11" s="499" t="s">
        <v>382</v>
      </c>
      <c r="G11" s="571" t="s">
        <v>380</v>
      </c>
      <c r="H11" s="571" t="s">
        <v>383</v>
      </c>
      <c r="I11" s="571" t="str">
        <f>Table1[[#This Row],[Staff]]</f>
        <v>Nicole</v>
      </c>
      <c r="J11" s="570">
        <f>Table1[[#This Row],[Date]]</f>
        <v>41144</v>
      </c>
      <c r="K11" s="526"/>
      <c r="L11" s="526"/>
    </row>
    <row r="12" spans="1:35" hidden="1">
      <c r="A12" s="569">
        <v>1</v>
      </c>
      <c r="B12" s="37">
        <v>10</v>
      </c>
      <c r="C12" s="570">
        <v>41144</v>
      </c>
      <c r="D12" s="560" t="s">
        <v>362</v>
      </c>
      <c r="E12" s="560" t="s">
        <v>378</v>
      </c>
      <c r="F12" s="499" t="s">
        <v>379</v>
      </c>
      <c r="G12" s="571" t="s">
        <v>380</v>
      </c>
      <c r="H12" s="571" t="s">
        <v>381</v>
      </c>
      <c r="I12" s="571" t="str">
        <f>Table1[[#This Row],[Staff]]</f>
        <v>Nicole</v>
      </c>
      <c r="J12" s="570">
        <f>Table1[[#This Row],[Date]]</f>
        <v>41144</v>
      </c>
      <c r="K12" s="526"/>
      <c r="L12" s="526"/>
    </row>
    <row r="13" spans="1:35" hidden="1">
      <c r="A13" s="569">
        <v>1</v>
      </c>
      <c r="B13" s="37">
        <v>11</v>
      </c>
      <c r="C13" s="570">
        <v>41144</v>
      </c>
      <c r="D13" s="560" t="s">
        <v>362</v>
      </c>
      <c r="E13" s="560" t="s">
        <v>385</v>
      </c>
      <c r="F13" s="499" t="s">
        <v>370</v>
      </c>
      <c r="G13" s="571" t="s">
        <v>371</v>
      </c>
      <c r="H13" s="571" t="s">
        <v>384</v>
      </c>
      <c r="I13" s="571" t="str">
        <f>Table1[[#This Row],[Staff]]</f>
        <v>Nicole</v>
      </c>
      <c r="J13" s="570">
        <f>Table1[[#This Row],[Date]]</f>
        <v>41144</v>
      </c>
      <c r="K13" s="526"/>
      <c r="L13" s="526"/>
    </row>
    <row r="14" spans="1:35" hidden="1">
      <c r="A14" s="569">
        <v>1</v>
      </c>
      <c r="B14" s="37">
        <v>12</v>
      </c>
      <c r="C14" s="570">
        <v>41144</v>
      </c>
      <c r="D14" s="560" t="s">
        <v>362</v>
      </c>
      <c r="E14" s="560" t="s">
        <v>385</v>
      </c>
      <c r="F14" s="499" t="s">
        <v>386</v>
      </c>
      <c r="G14" s="571" t="s">
        <v>380</v>
      </c>
      <c r="H14" s="571" t="s">
        <v>387</v>
      </c>
      <c r="I14" s="571" t="str">
        <f>Table1[[#This Row],[Staff]]</f>
        <v>Nicole</v>
      </c>
      <c r="J14" s="570">
        <f>Table1[[#This Row],[Date]]</f>
        <v>41144</v>
      </c>
      <c r="K14" s="526"/>
      <c r="L14" s="526"/>
    </row>
    <row r="15" spans="1:35" hidden="1">
      <c r="A15" s="569">
        <v>1</v>
      </c>
      <c r="B15" s="37">
        <v>13</v>
      </c>
      <c r="C15" s="570">
        <v>41144</v>
      </c>
      <c r="D15" s="560" t="s">
        <v>362</v>
      </c>
      <c r="E15" s="560" t="s">
        <v>388</v>
      </c>
      <c r="F15" s="499" t="s">
        <v>370</v>
      </c>
      <c r="G15" s="571" t="s">
        <v>371</v>
      </c>
      <c r="H15" s="571" t="s">
        <v>384</v>
      </c>
      <c r="I15" s="571" t="str">
        <f>Table1[[#This Row],[Staff]]</f>
        <v>Nicole</v>
      </c>
      <c r="J15" s="570">
        <f>Table1[[#This Row],[Date]]</f>
        <v>41144</v>
      </c>
      <c r="K15" s="526"/>
      <c r="L15" s="526"/>
    </row>
    <row r="16" spans="1:35" hidden="1">
      <c r="A16" s="569">
        <v>1</v>
      </c>
      <c r="B16" s="37">
        <v>14</v>
      </c>
      <c r="C16" s="570">
        <v>41144</v>
      </c>
      <c r="D16" s="560" t="s">
        <v>362</v>
      </c>
      <c r="E16" s="560" t="s">
        <v>388</v>
      </c>
      <c r="F16" s="499" t="s">
        <v>389</v>
      </c>
      <c r="G16" s="571" t="s">
        <v>380</v>
      </c>
      <c r="H16" s="571" t="s">
        <v>390</v>
      </c>
      <c r="I16" s="571" t="str">
        <f>Table1[[#This Row],[Staff]]</f>
        <v>Nicole</v>
      </c>
      <c r="J16" s="570">
        <f>Table1[[#This Row],[Date]]</f>
        <v>41144</v>
      </c>
      <c r="K16" s="526"/>
      <c r="L16" s="526"/>
    </row>
    <row r="17" spans="1:12" hidden="1">
      <c r="A17" s="569">
        <v>1</v>
      </c>
      <c r="B17" s="37">
        <v>15</v>
      </c>
      <c r="C17" s="570">
        <v>41144</v>
      </c>
      <c r="D17" s="560" t="s">
        <v>362</v>
      </c>
      <c r="E17" s="560" t="s">
        <v>61</v>
      </c>
      <c r="F17" s="499" t="s">
        <v>370</v>
      </c>
      <c r="G17" s="571" t="s">
        <v>371</v>
      </c>
      <c r="H17" s="571" t="s">
        <v>384</v>
      </c>
      <c r="I17" s="571" t="str">
        <f>Table1[[#This Row],[Staff]]</f>
        <v>Nicole</v>
      </c>
      <c r="J17" s="570">
        <f>Table1[[#This Row],[Date]]</f>
        <v>41144</v>
      </c>
      <c r="K17" s="526"/>
      <c r="L17" s="526"/>
    </row>
    <row r="18" spans="1:12" hidden="1">
      <c r="A18" s="569">
        <v>1</v>
      </c>
      <c r="B18" s="37">
        <v>16</v>
      </c>
      <c r="C18" s="570">
        <v>41144</v>
      </c>
      <c r="D18" s="560" t="s">
        <v>362</v>
      </c>
      <c r="E18" s="560" t="s">
        <v>61</v>
      </c>
      <c r="F18" s="499" t="s">
        <v>391</v>
      </c>
      <c r="G18" s="571" t="s">
        <v>380</v>
      </c>
      <c r="H18" s="571" t="s">
        <v>392</v>
      </c>
      <c r="I18" s="571" t="str">
        <f>Table1[[#This Row],[Staff]]</f>
        <v>Nicole</v>
      </c>
      <c r="J18" s="570">
        <f>Table1[[#This Row],[Date]]</f>
        <v>41144</v>
      </c>
      <c r="K18" s="526"/>
      <c r="L18" s="526"/>
    </row>
    <row r="19" spans="1:12" hidden="1">
      <c r="A19" s="569">
        <v>1</v>
      </c>
      <c r="B19" s="37">
        <v>17</v>
      </c>
      <c r="C19" s="570">
        <v>41144</v>
      </c>
      <c r="D19" s="560" t="s">
        <v>362</v>
      </c>
      <c r="E19" s="560" t="s">
        <v>393</v>
      </c>
      <c r="F19" s="499" t="s">
        <v>370</v>
      </c>
      <c r="G19" s="571" t="s">
        <v>371</v>
      </c>
      <c r="H19" s="571" t="s">
        <v>384</v>
      </c>
      <c r="I19" s="571" t="str">
        <f>Table1[[#This Row],[Staff]]</f>
        <v>Nicole</v>
      </c>
      <c r="J19" s="570">
        <f>Table1[[#This Row],[Date]]</f>
        <v>41144</v>
      </c>
      <c r="K19" s="526"/>
      <c r="L19" s="526"/>
    </row>
    <row r="20" spans="1:12" hidden="1">
      <c r="A20" s="569">
        <v>1</v>
      </c>
      <c r="B20" s="37">
        <v>18</v>
      </c>
      <c r="C20" s="570">
        <v>41144</v>
      </c>
      <c r="D20" s="560" t="s">
        <v>362</v>
      </c>
      <c r="E20" s="560" t="s">
        <v>393</v>
      </c>
      <c r="F20" s="499" t="s">
        <v>394</v>
      </c>
      <c r="I20" s="571" t="str">
        <f>Table1[[#This Row],[Staff]]</f>
        <v>Nicole</v>
      </c>
      <c r="J20" s="570">
        <f>Table1[[#This Row],[Date]]</f>
        <v>41144</v>
      </c>
      <c r="K20" s="526"/>
      <c r="L20" s="526"/>
    </row>
    <row r="21" spans="1:12" ht="28.5" hidden="1">
      <c r="A21" s="569">
        <v>1</v>
      </c>
      <c r="B21" s="37">
        <v>19</v>
      </c>
      <c r="C21" s="570">
        <v>41144</v>
      </c>
      <c r="D21" s="560" t="s">
        <v>362</v>
      </c>
      <c r="E21" s="560" t="s">
        <v>395</v>
      </c>
      <c r="F21" s="499" t="s">
        <v>396</v>
      </c>
      <c r="G21" s="571" t="s">
        <v>397</v>
      </c>
      <c r="H21" s="571" t="s">
        <v>398</v>
      </c>
      <c r="I21" s="571" t="str">
        <f>Table1[[#This Row],[Staff]]</f>
        <v>Nicole</v>
      </c>
      <c r="J21" s="570">
        <f>Table1[[#This Row],[Date]]</f>
        <v>41144</v>
      </c>
      <c r="K21" s="526"/>
      <c r="L21" s="526"/>
    </row>
    <row r="22" spans="1:12" hidden="1">
      <c r="A22" s="569">
        <v>1</v>
      </c>
      <c r="B22" s="37">
        <v>20</v>
      </c>
      <c r="C22" s="570">
        <v>41144</v>
      </c>
      <c r="D22" s="560" t="s">
        <v>362</v>
      </c>
      <c r="E22" s="560" t="s">
        <v>395</v>
      </c>
      <c r="F22" s="499" t="s">
        <v>370</v>
      </c>
      <c r="G22" s="571" t="s">
        <v>371</v>
      </c>
      <c r="H22" s="571" t="s">
        <v>384</v>
      </c>
      <c r="I22" s="571" t="str">
        <f>Table1[[#This Row],[Staff]]</f>
        <v>Nicole</v>
      </c>
      <c r="J22" s="570">
        <f>Table1[[#This Row],[Date]]</f>
        <v>41144</v>
      </c>
      <c r="K22" s="526"/>
      <c r="L22" s="526"/>
    </row>
    <row r="23" spans="1:12" hidden="1">
      <c r="A23" s="569">
        <v>1</v>
      </c>
      <c r="B23" s="37">
        <v>21</v>
      </c>
      <c r="C23" s="570">
        <v>41144</v>
      </c>
      <c r="D23" s="560" t="s">
        <v>362</v>
      </c>
      <c r="E23" s="560" t="s">
        <v>395</v>
      </c>
      <c r="F23" s="499" t="s">
        <v>394</v>
      </c>
      <c r="G23" s="571" t="s">
        <v>380</v>
      </c>
      <c r="H23" s="571" t="s">
        <v>399</v>
      </c>
      <c r="I23" s="571" t="str">
        <f>Table1[[#This Row],[Staff]]</f>
        <v>Nicole</v>
      </c>
      <c r="J23" s="570">
        <f>Table1[[#This Row],[Date]]</f>
        <v>41144</v>
      </c>
      <c r="K23" s="526"/>
      <c r="L23" s="526"/>
    </row>
    <row r="24" spans="1:12" ht="28.5" hidden="1">
      <c r="A24" s="569">
        <v>1</v>
      </c>
      <c r="B24" s="37">
        <v>22</v>
      </c>
      <c r="C24" s="570">
        <v>41144</v>
      </c>
      <c r="D24" s="560" t="s">
        <v>362</v>
      </c>
      <c r="E24" s="560" t="s">
        <v>401</v>
      </c>
      <c r="F24" s="499" t="s">
        <v>400</v>
      </c>
      <c r="G24" s="571" t="s">
        <v>402</v>
      </c>
      <c r="H24" s="571" t="s">
        <v>403</v>
      </c>
      <c r="I24" s="571" t="str">
        <f>Table1[[#This Row],[Staff]]</f>
        <v>Nicole</v>
      </c>
      <c r="J24" s="570">
        <f>Table1[[#This Row],[Date]]</f>
        <v>41144</v>
      </c>
      <c r="K24" s="526"/>
      <c r="L24" s="526"/>
    </row>
    <row r="25" spans="1:12" hidden="1">
      <c r="A25" s="569">
        <v>1</v>
      </c>
      <c r="B25" s="37">
        <v>23</v>
      </c>
      <c r="C25" s="570">
        <v>41144</v>
      </c>
      <c r="D25" s="560" t="s">
        <v>362</v>
      </c>
      <c r="E25" s="560" t="s">
        <v>401</v>
      </c>
      <c r="F25" s="499" t="s">
        <v>370</v>
      </c>
      <c r="G25" s="571" t="s">
        <v>371</v>
      </c>
      <c r="H25" s="571" t="s">
        <v>384</v>
      </c>
      <c r="I25" s="571" t="str">
        <f>Table1[[#This Row],[Staff]]</f>
        <v>Nicole</v>
      </c>
      <c r="J25" s="570">
        <f>Table1[[#This Row],[Date]]</f>
        <v>41144</v>
      </c>
      <c r="K25" s="526"/>
      <c r="L25" s="526"/>
    </row>
    <row r="26" spans="1:12" ht="28.5" hidden="1">
      <c r="A26" s="569">
        <v>1</v>
      </c>
      <c r="B26" s="37">
        <v>24</v>
      </c>
      <c r="C26" s="570">
        <v>41144</v>
      </c>
      <c r="D26" s="560" t="s">
        <v>362</v>
      </c>
      <c r="E26" s="560" t="s">
        <v>401</v>
      </c>
      <c r="F26" s="499" t="s">
        <v>405</v>
      </c>
      <c r="G26" s="571" t="s">
        <v>380</v>
      </c>
      <c r="H26" s="571" t="s">
        <v>404</v>
      </c>
      <c r="I26" s="571" t="str">
        <f>Table1[[#This Row],[Staff]]</f>
        <v>Nicole</v>
      </c>
      <c r="J26" s="570">
        <f>Table1[[#This Row],[Date]]</f>
        <v>41144</v>
      </c>
      <c r="K26" s="526"/>
      <c r="L26" s="526"/>
    </row>
    <row r="27" spans="1:12" hidden="1">
      <c r="A27" s="569">
        <v>1</v>
      </c>
      <c r="B27" s="37">
        <v>25</v>
      </c>
      <c r="C27" s="570">
        <v>41144</v>
      </c>
      <c r="D27" s="560" t="s">
        <v>362</v>
      </c>
      <c r="E27" s="560" t="s">
        <v>406</v>
      </c>
      <c r="F27" s="499" t="s">
        <v>370</v>
      </c>
      <c r="G27" s="571" t="s">
        <v>371</v>
      </c>
      <c r="H27" s="571" t="s">
        <v>384</v>
      </c>
      <c r="I27" s="571" t="str">
        <f>Table1[[#This Row],[Staff]]</f>
        <v>Nicole</v>
      </c>
      <c r="J27" s="570">
        <f>Table1[[#This Row],[Date]]</f>
        <v>41144</v>
      </c>
      <c r="K27" s="526"/>
      <c r="L27" s="526"/>
    </row>
    <row r="28" spans="1:12" ht="28.5" hidden="1">
      <c r="A28" s="569">
        <v>1</v>
      </c>
      <c r="B28" s="37">
        <v>26</v>
      </c>
      <c r="C28" s="570">
        <v>41144</v>
      </c>
      <c r="D28" s="560" t="s">
        <v>362</v>
      </c>
      <c r="E28" s="560" t="s">
        <v>406</v>
      </c>
      <c r="F28" s="499" t="s">
        <v>394</v>
      </c>
      <c r="G28" s="571" t="s">
        <v>380</v>
      </c>
      <c r="H28" s="571" t="s">
        <v>407</v>
      </c>
      <c r="I28" s="571" t="str">
        <f>Table1[[#This Row],[Staff]]</f>
        <v>Nicole</v>
      </c>
      <c r="J28" s="570">
        <f>Table1[[#This Row],[Date]]</f>
        <v>41144</v>
      </c>
      <c r="K28" s="526"/>
      <c r="L28" s="526"/>
    </row>
    <row r="29" spans="1:12" hidden="1">
      <c r="A29" s="569">
        <v>1</v>
      </c>
      <c r="B29" s="37">
        <v>27</v>
      </c>
      <c r="C29" s="570">
        <v>41144</v>
      </c>
      <c r="D29" s="560" t="s">
        <v>362</v>
      </c>
      <c r="E29" s="560" t="s">
        <v>409</v>
      </c>
      <c r="F29" s="499" t="s">
        <v>370</v>
      </c>
      <c r="G29" s="571" t="s">
        <v>371</v>
      </c>
      <c r="H29" s="571" t="s">
        <v>384</v>
      </c>
      <c r="I29" s="571" t="str">
        <f>Table1[[#This Row],[Staff]]</f>
        <v>Nicole</v>
      </c>
      <c r="J29" s="570">
        <f>Table1[[#This Row],[Date]]</f>
        <v>41144</v>
      </c>
      <c r="K29" s="526"/>
      <c r="L29" s="526"/>
    </row>
    <row r="30" spans="1:12" ht="28.5" hidden="1">
      <c r="A30" s="569">
        <v>1</v>
      </c>
      <c r="B30" s="37">
        <v>28</v>
      </c>
      <c r="C30" s="570">
        <v>41144</v>
      </c>
      <c r="D30" s="560" t="s">
        <v>362</v>
      </c>
      <c r="E30" s="560" t="s">
        <v>409</v>
      </c>
      <c r="F30" s="499" t="s">
        <v>408</v>
      </c>
      <c r="G30" s="571" t="s">
        <v>380</v>
      </c>
      <c r="H30" s="571" t="s">
        <v>410</v>
      </c>
      <c r="I30" s="571" t="str">
        <f>Table1[[#This Row],[Staff]]</f>
        <v>Nicole</v>
      </c>
      <c r="J30" s="570">
        <f>Table1[[#This Row],[Date]]</f>
        <v>41144</v>
      </c>
      <c r="K30" s="526"/>
      <c r="L30" s="526"/>
    </row>
    <row r="31" spans="1:12" hidden="1">
      <c r="A31" s="569">
        <v>1</v>
      </c>
      <c r="B31" s="37">
        <v>29</v>
      </c>
      <c r="C31" s="570">
        <v>41144</v>
      </c>
      <c r="D31" s="560" t="s">
        <v>362</v>
      </c>
      <c r="E31" s="560" t="s">
        <v>77</v>
      </c>
      <c r="F31" s="499" t="s">
        <v>370</v>
      </c>
      <c r="G31" s="571" t="s">
        <v>371</v>
      </c>
      <c r="H31" s="571" t="s">
        <v>384</v>
      </c>
      <c r="I31" s="571" t="str">
        <f>Table1[[#This Row],[Staff]]</f>
        <v>Nicole</v>
      </c>
      <c r="J31" s="570">
        <f>Table1[[#This Row],[Date]]</f>
        <v>41144</v>
      </c>
      <c r="K31" s="526"/>
      <c r="L31" s="526"/>
    </row>
    <row r="32" spans="1:12" ht="28.5" hidden="1">
      <c r="A32" s="569">
        <v>1</v>
      </c>
      <c r="B32" s="37">
        <v>30</v>
      </c>
      <c r="C32" s="570">
        <v>41144</v>
      </c>
      <c r="D32" s="560" t="s">
        <v>362</v>
      </c>
      <c r="E32" s="560" t="s">
        <v>77</v>
      </c>
      <c r="F32" s="499" t="s">
        <v>411</v>
      </c>
      <c r="G32" s="571" t="s">
        <v>380</v>
      </c>
      <c r="H32" s="571" t="s">
        <v>412</v>
      </c>
      <c r="I32" s="571" t="str">
        <f>Table1[[#This Row],[Staff]]</f>
        <v>Nicole</v>
      </c>
      <c r="J32" s="570">
        <f>Table1[[#This Row],[Date]]</f>
        <v>41144</v>
      </c>
      <c r="K32" s="526"/>
      <c r="L32" s="526"/>
    </row>
    <row r="33" spans="1:12" hidden="1">
      <c r="A33" s="569">
        <v>1</v>
      </c>
      <c r="B33" s="37">
        <v>31</v>
      </c>
      <c r="C33" s="570">
        <v>41144</v>
      </c>
      <c r="D33" s="560" t="s">
        <v>362</v>
      </c>
      <c r="E33" s="560" t="s">
        <v>86</v>
      </c>
      <c r="F33" s="499" t="s">
        <v>370</v>
      </c>
      <c r="G33" s="571" t="s">
        <v>371</v>
      </c>
      <c r="H33" s="571" t="s">
        <v>384</v>
      </c>
      <c r="I33" s="571" t="str">
        <f>Table1[[#This Row],[Staff]]</f>
        <v>Nicole</v>
      </c>
      <c r="J33" s="570">
        <f>Table1[[#This Row],[Date]]</f>
        <v>41144</v>
      </c>
      <c r="K33" s="526"/>
      <c r="L33" s="526"/>
    </row>
    <row r="34" spans="1:12" ht="28.5" hidden="1">
      <c r="A34" s="569">
        <v>1</v>
      </c>
      <c r="B34" s="37">
        <v>32</v>
      </c>
      <c r="C34" s="570">
        <v>41144</v>
      </c>
      <c r="D34" s="560" t="s">
        <v>362</v>
      </c>
      <c r="E34" s="560" t="s">
        <v>86</v>
      </c>
      <c r="F34" s="499" t="s">
        <v>417</v>
      </c>
      <c r="G34" s="571" t="s">
        <v>380</v>
      </c>
      <c r="H34" s="571" t="s">
        <v>414</v>
      </c>
      <c r="I34" s="571" t="str">
        <f>Table1[[#This Row],[Staff]]</f>
        <v>Nicole</v>
      </c>
      <c r="J34" s="570">
        <f>Table1[[#This Row],[Date]]</f>
        <v>41144</v>
      </c>
      <c r="K34" s="526"/>
      <c r="L34" s="526"/>
    </row>
    <row r="35" spans="1:12" hidden="1">
      <c r="A35" s="569">
        <v>1</v>
      </c>
      <c r="B35" s="37">
        <v>33</v>
      </c>
      <c r="C35" s="570">
        <v>41144</v>
      </c>
      <c r="D35" s="560" t="s">
        <v>362</v>
      </c>
      <c r="E35" s="560" t="s">
        <v>413</v>
      </c>
      <c r="F35" s="499" t="s">
        <v>370</v>
      </c>
      <c r="G35" s="571" t="s">
        <v>371</v>
      </c>
      <c r="H35" s="571" t="s">
        <v>384</v>
      </c>
      <c r="I35" s="571" t="str">
        <f>Table1[[#This Row],[Staff]]</f>
        <v>Nicole</v>
      </c>
      <c r="J35" s="570">
        <f>Table1[[#This Row],[Date]]</f>
        <v>41144</v>
      </c>
      <c r="K35" s="526"/>
      <c r="L35" s="526"/>
    </row>
    <row r="36" spans="1:12" ht="28.5" hidden="1">
      <c r="A36" s="569">
        <v>1</v>
      </c>
      <c r="B36" s="37">
        <v>34</v>
      </c>
      <c r="C36" s="570">
        <v>41144</v>
      </c>
      <c r="D36" s="560" t="s">
        <v>362</v>
      </c>
      <c r="E36" s="560" t="s">
        <v>413</v>
      </c>
      <c r="F36" s="499" t="s">
        <v>416</v>
      </c>
      <c r="G36" s="571" t="s">
        <v>380</v>
      </c>
      <c r="H36" s="571" t="s">
        <v>415</v>
      </c>
      <c r="I36" s="571" t="str">
        <f>Table1[[#This Row],[Staff]]</f>
        <v>Nicole</v>
      </c>
      <c r="J36" s="570">
        <f>Table1[[#This Row],[Date]]</f>
        <v>41144</v>
      </c>
      <c r="K36" s="526"/>
      <c r="L36" s="526"/>
    </row>
    <row r="37" spans="1:12" ht="28.5" hidden="1">
      <c r="A37" s="569">
        <v>1</v>
      </c>
      <c r="B37" s="37">
        <v>35</v>
      </c>
      <c r="C37" s="570">
        <v>41145</v>
      </c>
      <c r="D37" s="561" t="s">
        <v>362</v>
      </c>
      <c r="E37" s="561" t="s">
        <v>369</v>
      </c>
      <c r="F37" s="499" t="s">
        <v>418</v>
      </c>
      <c r="G37" s="571" t="s">
        <v>419</v>
      </c>
      <c r="H37" s="571" t="s">
        <v>420</v>
      </c>
      <c r="I37" s="571" t="str">
        <f>Table1[[#This Row],[Staff]]</f>
        <v>Nicole</v>
      </c>
      <c r="J37" s="570">
        <f>Table1[[#This Row],[Date]]</f>
        <v>41145</v>
      </c>
      <c r="K37" s="526"/>
      <c r="L37" s="526"/>
    </row>
    <row r="38" spans="1:12" ht="28.5" hidden="1">
      <c r="A38" s="569">
        <v>1</v>
      </c>
      <c r="B38" s="37">
        <v>36</v>
      </c>
      <c r="C38" s="570">
        <v>41145</v>
      </c>
      <c r="D38" s="561" t="s">
        <v>362</v>
      </c>
      <c r="E38" s="561" t="s">
        <v>369</v>
      </c>
      <c r="F38" s="499" t="s">
        <v>421</v>
      </c>
      <c r="G38" s="571" t="s">
        <v>422</v>
      </c>
      <c r="H38" s="577" t="s">
        <v>472</v>
      </c>
      <c r="I38" s="577" t="s">
        <v>471</v>
      </c>
      <c r="J38" s="570">
        <v>41148</v>
      </c>
      <c r="K38" s="526"/>
      <c r="L38" s="526"/>
    </row>
    <row r="39" spans="1:12" ht="42.75" hidden="1">
      <c r="A39" s="569">
        <v>1</v>
      </c>
      <c r="B39" s="37">
        <v>37</v>
      </c>
      <c r="C39" s="570">
        <v>41145</v>
      </c>
      <c r="D39" s="561" t="s">
        <v>362</v>
      </c>
      <c r="E39" s="561" t="s">
        <v>369</v>
      </c>
      <c r="F39" s="499" t="s">
        <v>423</v>
      </c>
      <c r="G39" s="571" t="s">
        <v>424</v>
      </c>
      <c r="H39" s="571" t="s">
        <v>432</v>
      </c>
      <c r="I39" s="571" t="str">
        <f>Table1[[#This Row],[Staff]]</f>
        <v>Nicole</v>
      </c>
      <c r="J39" s="570">
        <f>Table1[[#This Row],[Date]]</f>
        <v>41145</v>
      </c>
      <c r="K39" s="526"/>
      <c r="L39" s="526"/>
    </row>
    <row r="40" spans="1:12" hidden="1">
      <c r="A40" s="569">
        <v>1</v>
      </c>
      <c r="B40" s="37">
        <v>38</v>
      </c>
      <c r="C40" s="570">
        <v>41145</v>
      </c>
      <c r="D40" s="561" t="s">
        <v>362</v>
      </c>
      <c r="E40" s="561" t="s">
        <v>378</v>
      </c>
      <c r="F40" s="499" t="s">
        <v>425</v>
      </c>
      <c r="G40" s="571" t="s">
        <v>424</v>
      </c>
      <c r="H40" s="571" t="s">
        <v>431</v>
      </c>
      <c r="I40" s="571" t="str">
        <f>Table1[[#This Row],[Staff]]</f>
        <v>Nicole</v>
      </c>
      <c r="J40" s="570">
        <f>Table1[[#This Row],[Date]]</f>
        <v>41145</v>
      </c>
      <c r="K40" s="526"/>
      <c r="L40" s="526"/>
    </row>
    <row r="41" spans="1:12" hidden="1">
      <c r="A41" s="569">
        <v>1</v>
      </c>
      <c r="B41" s="37">
        <v>39</v>
      </c>
      <c r="C41" s="570">
        <v>41145</v>
      </c>
      <c r="D41" s="561" t="s">
        <v>362</v>
      </c>
      <c r="E41" s="561" t="s">
        <v>378</v>
      </c>
      <c r="F41" s="499" t="s">
        <v>426</v>
      </c>
      <c r="G41" s="571" t="s">
        <v>424</v>
      </c>
      <c r="H41" s="571" t="s">
        <v>431</v>
      </c>
      <c r="I41" s="571" t="str">
        <f>Table1[[#This Row],[Staff]]</f>
        <v>Nicole</v>
      </c>
      <c r="J41" s="570">
        <f>Table1[[#This Row],[Date]]</f>
        <v>41145</v>
      </c>
      <c r="K41" s="526"/>
      <c r="L41" s="526"/>
    </row>
    <row r="42" spans="1:12" hidden="1">
      <c r="A42" s="569">
        <v>1</v>
      </c>
      <c r="B42" s="37">
        <v>40</v>
      </c>
      <c r="C42" s="570">
        <v>41145</v>
      </c>
      <c r="D42" s="561" t="s">
        <v>362</v>
      </c>
      <c r="E42" s="561" t="s">
        <v>378</v>
      </c>
      <c r="F42" s="499" t="s">
        <v>427</v>
      </c>
      <c r="G42" s="571" t="s">
        <v>424</v>
      </c>
      <c r="H42" s="571" t="s">
        <v>431</v>
      </c>
      <c r="I42" s="571" t="str">
        <f>Table1[[#This Row],[Staff]]</f>
        <v>Nicole</v>
      </c>
      <c r="J42" s="570">
        <f>Table1[[#This Row],[Date]]</f>
        <v>41145</v>
      </c>
      <c r="K42" s="526"/>
      <c r="L42" s="526"/>
    </row>
    <row r="43" spans="1:12" hidden="1">
      <c r="A43" s="569">
        <v>1</v>
      </c>
      <c r="B43" s="37">
        <v>41</v>
      </c>
      <c r="C43" s="570">
        <v>41145</v>
      </c>
      <c r="D43" s="561" t="s">
        <v>362</v>
      </c>
      <c r="E43" s="561" t="s">
        <v>378</v>
      </c>
      <c r="F43" s="499" t="s">
        <v>428</v>
      </c>
      <c r="G43" s="571" t="s">
        <v>424</v>
      </c>
      <c r="H43" s="571" t="s">
        <v>431</v>
      </c>
      <c r="I43" s="571" t="str">
        <f>Table1[[#This Row],[Staff]]</f>
        <v>Nicole</v>
      </c>
      <c r="J43" s="570">
        <f>Table1[[#This Row],[Date]]</f>
        <v>41145</v>
      </c>
      <c r="K43" s="526"/>
      <c r="L43" s="526"/>
    </row>
    <row r="44" spans="1:12" hidden="1">
      <c r="A44" s="569">
        <v>1</v>
      </c>
      <c r="B44" s="37">
        <v>42</v>
      </c>
      <c r="C44" s="570">
        <v>41145</v>
      </c>
      <c r="D44" s="561" t="s">
        <v>362</v>
      </c>
      <c r="E44" s="561" t="s">
        <v>378</v>
      </c>
      <c r="F44" s="499" t="s">
        <v>429</v>
      </c>
      <c r="G44" s="571" t="s">
        <v>424</v>
      </c>
      <c r="H44" s="571" t="s">
        <v>431</v>
      </c>
      <c r="I44" s="571" t="str">
        <f>Table1[[#This Row],[Staff]]</f>
        <v>Nicole</v>
      </c>
      <c r="J44" s="570">
        <f>Table1[[#This Row],[Date]]</f>
        <v>41145</v>
      </c>
      <c r="K44" s="526"/>
      <c r="L44" s="526"/>
    </row>
    <row r="45" spans="1:12" hidden="1">
      <c r="A45" s="569">
        <v>1</v>
      </c>
      <c r="B45" s="37">
        <v>43</v>
      </c>
      <c r="C45" s="570">
        <v>41145</v>
      </c>
      <c r="D45" s="561" t="s">
        <v>362</v>
      </c>
      <c r="E45" s="561" t="s">
        <v>378</v>
      </c>
      <c r="F45" s="499" t="s">
        <v>430</v>
      </c>
      <c r="G45" s="571" t="s">
        <v>424</v>
      </c>
      <c r="H45" s="571" t="s">
        <v>431</v>
      </c>
      <c r="I45" s="571" t="str">
        <f>Table1[[#This Row],[Staff]]</f>
        <v>Nicole</v>
      </c>
      <c r="J45" s="570">
        <f>Table1[[#This Row],[Date]]</f>
        <v>41145</v>
      </c>
      <c r="K45" s="526"/>
      <c r="L45" s="526"/>
    </row>
    <row r="46" spans="1:12" hidden="1">
      <c r="A46" s="569">
        <v>1</v>
      </c>
      <c r="B46" s="37">
        <v>44</v>
      </c>
      <c r="C46" s="570">
        <v>41145</v>
      </c>
      <c r="D46" s="561" t="s">
        <v>362</v>
      </c>
      <c r="E46" s="561" t="s">
        <v>8</v>
      </c>
      <c r="F46" s="499" t="s">
        <v>433</v>
      </c>
      <c r="G46" s="571" t="s">
        <v>424</v>
      </c>
      <c r="H46" s="571" t="s">
        <v>431</v>
      </c>
      <c r="I46" s="571" t="str">
        <f>Table1[[#This Row],[Staff]]</f>
        <v>Nicole</v>
      </c>
      <c r="J46" s="570">
        <f>Table1[[#This Row],[Date]]</f>
        <v>41145</v>
      </c>
      <c r="K46" s="526"/>
      <c r="L46" s="526"/>
    </row>
    <row r="47" spans="1:12" hidden="1">
      <c r="A47" s="569">
        <v>1</v>
      </c>
      <c r="B47" s="37">
        <v>45</v>
      </c>
      <c r="C47" s="570">
        <v>41145</v>
      </c>
      <c r="D47" s="561" t="s">
        <v>362</v>
      </c>
      <c r="E47" s="561" t="s">
        <v>8</v>
      </c>
      <c r="F47" s="499" t="s">
        <v>426</v>
      </c>
      <c r="G47" s="571" t="s">
        <v>424</v>
      </c>
      <c r="H47" s="571" t="s">
        <v>431</v>
      </c>
      <c r="I47" s="571" t="str">
        <f>Table1[[#This Row],[Staff]]</f>
        <v>Nicole</v>
      </c>
      <c r="J47" s="570">
        <f>Table1[[#This Row],[Date]]</f>
        <v>41145</v>
      </c>
      <c r="K47" s="526"/>
      <c r="L47" s="526"/>
    </row>
    <row r="48" spans="1:12" hidden="1">
      <c r="A48" s="569">
        <v>1</v>
      </c>
      <c r="B48" s="37">
        <v>46</v>
      </c>
      <c r="C48" s="570">
        <v>41145</v>
      </c>
      <c r="D48" s="561" t="s">
        <v>362</v>
      </c>
      <c r="E48" s="561" t="s">
        <v>8</v>
      </c>
      <c r="F48" s="499" t="s">
        <v>427</v>
      </c>
      <c r="G48" s="571" t="s">
        <v>424</v>
      </c>
      <c r="H48" s="571" t="s">
        <v>431</v>
      </c>
      <c r="I48" s="571" t="str">
        <f>Table1[[#This Row],[Staff]]</f>
        <v>Nicole</v>
      </c>
      <c r="J48" s="570">
        <f>Table1[[#This Row],[Date]]</f>
        <v>41145</v>
      </c>
      <c r="K48" s="526"/>
      <c r="L48" s="526"/>
    </row>
    <row r="49" spans="1:12" hidden="1">
      <c r="A49" s="569">
        <v>1</v>
      </c>
      <c r="B49" s="37">
        <v>47</v>
      </c>
      <c r="C49" s="570">
        <v>41145</v>
      </c>
      <c r="D49" s="561" t="s">
        <v>362</v>
      </c>
      <c r="E49" s="561" t="s">
        <v>8</v>
      </c>
      <c r="F49" s="499" t="s">
        <v>428</v>
      </c>
      <c r="G49" s="571" t="s">
        <v>424</v>
      </c>
      <c r="H49" s="571" t="s">
        <v>431</v>
      </c>
      <c r="I49" s="571" t="str">
        <f>Table1[[#This Row],[Staff]]</f>
        <v>Nicole</v>
      </c>
      <c r="J49" s="570">
        <f>Table1[[#This Row],[Date]]</f>
        <v>41145</v>
      </c>
      <c r="K49" s="526"/>
      <c r="L49" s="526"/>
    </row>
    <row r="50" spans="1:12" hidden="1">
      <c r="A50" s="569">
        <v>1</v>
      </c>
      <c r="B50" s="37">
        <v>48</v>
      </c>
      <c r="C50" s="570">
        <v>41145</v>
      </c>
      <c r="D50" s="561" t="s">
        <v>362</v>
      </c>
      <c r="E50" s="561" t="s">
        <v>8</v>
      </c>
      <c r="F50" s="499" t="s">
        <v>425</v>
      </c>
      <c r="G50" s="571" t="s">
        <v>424</v>
      </c>
      <c r="H50" s="571" t="s">
        <v>431</v>
      </c>
      <c r="I50" s="571" t="str">
        <f>Table1[[#This Row],[Staff]]</f>
        <v>Nicole</v>
      </c>
      <c r="J50" s="570">
        <f>Table1[[#This Row],[Date]]</f>
        <v>41145</v>
      </c>
      <c r="K50" s="526"/>
      <c r="L50" s="526"/>
    </row>
    <row r="51" spans="1:12" ht="28.5" hidden="1">
      <c r="A51" s="569">
        <v>1</v>
      </c>
      <c r="B51" s="37">
        <v>49</v>
      </c>
      <c r="C51" s="570">
        <v>41145</v>
      </c>
      <c r="D51" s="561" t="s">
        <v>362</v>
      </c>
      <c r="E51" s="561" t="s">
        <v>8</v>
      </c>
      <c r="F51" s="499" t="s">
        <v>435</v>
      </c>
      <c r="G51" s="571" t="s">
        <v>437</v>
      </c>
      <c r="H51" s="571" t="s">
        <v>438</v>
      </c>
      <c r="I51" s="571" t="str">
        <f>Table1[[#This Row],[Staff]]</f>
        <v>Nicole</v>
      </c>
      <c r="J51" s="570">
        <f>Table1[[#This Row],[Date]]</f>
        <v>41145</v>
      </c>
      <c r="K51" s="526"/>
      <c r="L51" s="526"/>
    </row>
    <row r="52" spans="1:12" ht="28.5" hidden="1">
      <c r="A52" s="569">
        <v>1</v>
      </c>
      <c r="B52" s="37">
        <v>50</v>
      </c>
      <c r="C52" s="570">
        <v>41145</v>
      </c>
      <c r="D52" s="561" t="s">
        <v>362</v>
      </c>
      <c r="E52" s="561" t="s">
        <v>8</v>
      </c>
      <c r="F52" s="499" t="s">
        <v>436</v>
      </c>
      <c r="G52" s="571" t="s">
        <v>437</v>
      </c>
      <c r="H52" s="571" t="s">
        <v>439</v>
      </c>
      <c r="I52" s="571" t="str">
        <f>Table1[[#This Row],[Staff]]</f>
        <v>Nicole</v>
      </c>
      <c r="J52" s="570">
        <f>Table1[[#This Row],[Date]]</f>
        <v>41145</v>
      </c>
      <c r="K52" s="526"/>
      <c r="L52" s="526"/>
    </row>
    <row r="53" spans="1:12" hidden="1">
      <c r="A53" s="569">
        <v>1</v>
      </c>
      <c r="B53" s="37">
        <v>51</v>
      </c>
      <c r="C53" s="570">
        <v>41145</v>
      </c>
      <c r="D53" s="561" t="s">
        <v>362</v>
      </c>
      <c r="E53" s="561" t="s">
        <v>385</v>
      </c>
      <c r="F53" s="499" t="s">
        <v>440</v>
      </c>
      <c r="G53" s="571" t="s">
        <v>424</v>
      </c>
      <c r="H53" s="571" t="s">
        <v>431</v>
      </c>
      <c r="I53" s="571" t="str">
        <f>Table1[[#This Row],[Staff]]</f>
        <v>Nicole</v>
      </c>
      <c r="J53" s="570">
        <f>Table1[[#This Row],[Date]]</f>
        <v>41145</v>
      </c>
      <c r="K53" s="526"/>
      <c r="L53" s="526"/>
    </row>
    <row r="54" spans="1:12" hidden="1">
      <c r="A54" s="569">
        <v>1</v>
      </c>
      <c r="B54" s="37">
        <v>52</v>
      </c>
      <c r="C54" s="570">
        <v>41145</v>
      </c>
      <c r="D54" s="561" t="s">
        <v>362</v>
      </c>
      <c r="E54" s="561" t="s">
        <v>385</v>
      </c>
      <c r="F54" s="499" t="s">
        <v>441</v>
      </c>
      <c r="G54" s="571" t="s">
        <v>424</v>
      </c>
      <c r="H54" s="571" t="s">
        <v>431</v>
      </c>
      <c r="I54" s="571" t="str">
        <f>Table1[[#This Row],[Staff]]</f>
        <v>Nicole</v>
      </c>
      <c r="J54" s="570">
        <f>Table1[[#This Row],[Date]]</f>
        <v>41145</v>
      </c>
      <c r="K54" s="526"/>
      <c r="L54" s="526"/>
    </row>
    <row r="55" spans="1:12" hidden="1">
      <c r="A55" s="569">
        <v>1</v>
      </c>
      <c r="B55" s="37">
        <v>53</v>
      </c>
      <c r="C55" s="570">
        <v>41145</v>
      </c>
      <c r="D55" s="561" t="s">
        <v>362</v>
      </c>
      <c r="E55" s="561" t="s">
        <v>385</v>
      </c>
      <c r="F55" s="499" t="s">
        <v>442</v>
      </c>
      <c r="G55" s="571" t="s">
        <v>424</v>
      </c>
      <c r="H55" s="571" t="s">
        <v>431</v>
      </c>
      <c r="I55" s="571" t="str">
        <f>Table1[[#This Row],[Staff]]</f>
        <v>Nicole</v>
      </c>
      <c r="J55" s="570">
        <f>Table1[[#This Row],[Date]]</f>
        <v>41145</v>
      </c>
      <c r="K55" s="526"/>
      <c r="L55" s="526"/>
    </row>
    <row r="56" spans="1:12" hidden="1">
      <c r="A56" s="569">
        <v>1</v>
      </c>
      <c r="B56" s="37">
        <v>54</v>
      </c>
      <c r="C56" s="570">
        <v>41145</v>
      </c>
      <c r="D56" s="561" t="s">
        <v>362</v>
      </c>
      <c r="E56" s="561" t="s">
        <v>385</v>
      </c>
      <c r="F56" s="499" t="s">
        <v>443</v>
      </c>
      <c r="G56" s="571" t="s">
        <v>424</v>
      </c>
      <c r="H56" s="571" t="s">
        <v>431</v>
      </c>
      <c r="I56" s="571" t="str">
        <f>Table1[[#This Row],[Staff]]</f>
        <v>Nicole</v>
      </c>
      <c r="J56" s="570">
        <f>Table1[[#This Row],[Date]]</f>
        <v>41145</v>
      </c>
      <c r="K56" s="526"/>
      <c r="L56" s="526"/>
    </row>
    <row r="57" spans="1:12" hidden="1">
      <c r="A57" s="569">
        <v>1</v>
      </c>
      <c r="B57" s="37">
        <v>55</v>
      </c>
      <c r="C57" s="570">
        <v>41145</v>
      </c>
      <c r="D57" s="561" t="s">
        <v>362</v>
      </c>
      <c r="E57" s="561" t="s">
        <v>385</v>
      </c>
      <c r="F57" s="499" t="s">
        <v>444</v>
      </c>
      <c r="G57" s="571" t="s">
        <v>424</v>
      </c>
      <c r="H57" s="571" t="s">
        <v>431</v>
      </c>
      <c r="I57" s="571" t="str">
        <f>Table1[[#This Row],[Staff]]</f>
        <v>Nicole</v>
      </c>
      <c r="J57" s="570">
        <f>Table1[[#This Row],[Date]]</f>
        <v>41145</v>
      </c>
      <c r="K57" s="526"/>
      <c r="L57" s="526"/>
    </row>
    <row r="58" spans="1:12" hidden="1">
      <c r="A58" s="569">
        <v>1</v>
      </c>
      <c r="B58" s="37">
        <v>56</v>
      </c>
      <c r="C58" s="570">
        <v>41145</v>
      </c>
      <c r="D58" s="561" t="s">
        <v>362</v>
      </c>
      <c r="E58" s="561" t="s">
        <v>385</v>
      </c>
      <c r="F58" s="499" t="s">
        <v>445</v>
      </c>
      <c r="G58" s="571" t="s">
        <v>424</v>
      </c>
      <c r="H58" s="571" t="s">
        <v>431</v>
      </c>
      <c r="I58" s="571" t="str">
        <f>Table1[[#This Row],[Staff]]</f>
        <v>Nicole</v>
      </c>
      <c r="J58" s="570">
        <f>Table1[[#This Row],[Date]]</f>
        <v>41145</v>
      </c>
      <c r="K58" s="526"/>
      <c r="L58" s="526"/>
    </row>
    <row r="59" spans="1:12" hidden="1">
      <c r="A59" s="569">
        <v>1</v>
      </c>
      <c r="B59" s="37">
        <v>57</v>
      </c>
      <c r="C59" s="570">
        <v>41145</v>
      </c>
      <c r="D59" s="561" t="s">
        <v>362</v>
      </c>
      <c r="E59" s="561" t="s">
        <v>385</v>
      </c>
      <c r="F59" s="499" t="s">
        <v>446</v>
      </c>
      <c r="G59" s="571" t="s">
        <v>424</v>
      </c>
      <c r="H59" s="571" t="s">
        <v>431</v>
      </c>
      <c r="I59" s="571" t="str">
        <f>Table1[[#This Row],[Staff]]</f>
        <v>Nicole</v>
      </c>
      <c r="J59" s="570">
        <f>Table1[[#This Row],[Date]]</f>
        <v>41145</v>
      </c>
      <c r="K59" s="526"/>
      <c r="L59" s="526"/>
    </row>
    <row r="60" spans="1:12" hidden="1">
      <c r="A60" s="569">
        <v>1</v>
      </c>
      <c r="B60" s="37">
        <v>58</v>
      </c>
      <c r="C60" s="570">
        <v>41145</v>
      </c>
      <c r="D60" s="561" t="s">
        <v>362</v>
      </c>
      <c r="E60" s="561" t="s">
        <v>385</v>
      </c>
      <c r="F60" s="499" t="s">
        <v>447</v>
      </c>
      <c r="G60" s="571" t="s">
        <v>424</v>
      </c>
      <c r="H60" s="571" t="s">
        <v>431</v>
      </c>
      <c r="I60" s="571" t="str">
        <f>Table1[[#This Row],[Staff]]</f>
        <v>Nicole</v>
      </c>
      <c r="J60" s="570">
        <f>Table1[[#This Row],[Date]]</f>
        <v>41145</v>
      </c>
      <c r="K60" s="526"/>
      <c r="L60" s="526"/>
    </row>
    <row r="61" spans="1:12" hidden="1">
      <c r="A61" s="569">
        <v>1</v>
      </c>
      <c r="B61" s="37">
        <v>59</v>
      </c>
      <c r="C61" s="570">
        <v>41145</v>
      </c>
      <c r="D61" s="561" t="s">
        <v>362</v>
      </c>
      <c r="E61" s="561" t="s">
        <v>385</v>
      </c>
      <c r="F61" s="499" t="s">
        <v>448</v>
      </c>
      <c r="G61" s="571" t="s">
        <v>424</v>
      </c>
      <c r="H61" s="571" t="s">
        <v>431</v>
      </c>
      <c r="I61" s="571" t="str">
        <f>Table1[[#This Row],[Staff]]</f>
        <v>Nicole</v>
      </c>
      <c r="J61" s="570">
        <f>Table1[[#This Row],[Date]]</f>
        <v>41145</v>
      </c>
      <c r="K61" s="526"/>
      <c r="L61" s="526"/>
    </row>
    <row r="62" spans="1:12" hidden="1">
      <c r="A62" s="569">
        <v>1</v>
      </c>
      <c r="B62" s="37">
        <v>60</v>
      </c>
      <c r="C62" s="570">
        <v>41145</v>
      </c>
      <c r="D62" s="561" t="s">
        <v>362</v>
      </c>
      <c r="E62" s="561" t="s">
        <v>385</v>
      </c>
      <c r="F62" s="499" t="s">
        <v>449</v>
      </c>
      <c r="G62" s="571" t="s">
        <v>424</v>
      </c>
      <c r="H62" s="571" t="s">
        <v>431</v>
      </c>
      <c r="I62" s="571" t="str">
        <f>Table1[[#This Row],[Staff]]</f>
        <v>Nicole</v>
      </c>
      <c r="J62" s="570">
        <f>Table1[[#This Row],[Date]]</f>
        <v>41145</v>
      </c>
      <c r="K62" s="526"/>
      <c r="L62" s="526"/>
    </row>
    <row r="63" spans="1:12" hidden="1">
      <c r="A63" s="569">
        <v>1</v>
      </c>
      <c r="B63" s="37">
        <v>61</v>
      </c>
      <c r="C63" s="570">
        <v>41145</v>
      </c>
      <c r="D63" s="561" t="s">
        <v>362</v>
      </c>
      <c r="E63" s="561" t="s">
        <v>388</v>
      </c>
      <c r="F63" s="499" t="s">
        <v>440</v>
      </c>
      <c r="G63" s="571" t="s">
        <v>424</v>
      </c>
      <c r="H63" s="571" t="s">
        <v>431</v>
      </c>
      <c r="I63" s="571" t="str">
        <f>Table1[[#This Row],[Staff]]</f>
        <v>Nicole</v>
      </c>
      <c r="J63" s="570">
        <f>Table1[[#This Row],[Date]]</f>
        <v>41145</v>
      </c>
      <c r="K63" s="526"/>
      <c r="L63" s="526"/>
    </row>
    <row r="64" spans="1:12" hidden="1">
      <c r="A64" s="569">
        <v>1</v>
      </c>
      <c r="B64" s="37">
        <v>62</v>
      </c>
      <c r="C64" s="570">
        <v>41145</v>
      </c>
      <c r="D64" s="561" t="s">
        <v>362</v>
      </c>
      <c r="E64" s="561" t="s">
        <v>388</v>
      </c>
      <c r="F64" s="499" t="s">
        <v>450</v>
      </c>
      <c r="G64" s="571" t="s">
        <v>424</v>
      </c>
      <c r="H64" s="571" t="s">
        <v>431</v>
      </c>
      <c r="I64" s="571" t="str">
        <f>Table1[[#This Row],[Staff]]</f>
        <v>Nicole</v>
      </c>
      <c r="J64" s="570">
        <f>Table1[[#This Row],[Date]]</f>
        <v>41145</v>
      </c>
      <c r="K64" s="526"/>
      <c r="L64" s="526"/>
    </row>
    <row r="65" spans="1:12" hidden="1">
      <c r="A65" s="569">
        <v>1</v>
      </c>
      <c r="B65" s="37">
        <v>63</v>
      </c>
      <c r="C65" s="570">
        <v>41145</v>
      </c>
      <c r="D65" s="561" t="s">
        <v>362</v>
      </c>
      <c r="E65" s="561" t="s">
        <v>388</v>
      </c>
      <c r="F65" s="499" t="s">
        <v>451</v>
      </c>
      <c r="G65" s="571" t="s">
        <v>424</v>
      </c>
      <c r="H65" s="571" t="s">
        <v>431</v>
      </c>
      <c r="I65" s="571" t="str">
        <f>Table1[[#This Row],[Staff]]</f>
        <v>Nicole</v>
      </c>
      <c r="J65" s="570">
        <f>Table1[[#This Row],[Date]]</f>
        <v>41145</v>
      </c>
      <c r="K65" s="526"/>
      <c r="L65" s="526"/>
    </row>
    <row r="66" spans="1:12" hidden="1">
      <c r="A66" s="569">
        <v>1</v>
      </c>
      <c r="B66" s="37">
        <v>64</v>
      </c>
      <c r="C66" s="570">
        <v>41145</v>
      </c>
      <c r="D66" s="561" t="s">
        <v>362</v>
      </c>
      <c r="E66" s="561" t="s">
        <v>388</v>
      </c>
      <c r="F66" s="499" t="s">
        <v>452</v>
      </c>
      <c r="G66" s="571" t="s">
        <v>424</v>
      </c>
      <c r="H66" s="571" t="s">
        <v>431</v>
      </c>
      <c r="I66" s="571" t="str">
        <f>Table1[[#This Row],[Staff]]</f>
        <v>Nicole</v>
      </c>
      <c r="J66" s="570">
        <f>Table1[[#This Row],[Date]]</f>
        <v>41145</v>
      </c>
      <c r="K66" s="526"/>
      <c r="L66" s="526"/>
    </row>
    <row r="67" spans="1:12" hidden="1">
      <c r="A67" s="569">
        <v>1</v>
      </c>
      <c r="B67" s="37">
        <v>65</v>
      </c>
      <c r="C67" s="570">
        <v>41145</v>
      </c>
      <c r="D67" s="561" t="s">
        <v>362</v>
      </c>
      <c r="E67" s="561" t="s">
        <v>388</v>
      </c>
      <c r="F67" s="499" t="s">
        <v>453</v>
      </c>
      <c r="G67" s="571" t="s">
        <v>424</v>
      </c>
      <c r="H67" s="571" t="s">
        <v>431</v>
      </c>
      <c r="I67" s="571" t="str">
        <f>Table1[[#This Row],[Staff]]</f>
        <v>Nicole</v>
      </c>
      <c r="J67" s="570">
        <f>Table1[[#This Row],[Date]]</f>
        <v>41145</v>
      </c>
      <c r="K67" s="526"/>
      <c r="L67" s="526"/>
    </row>
    <row r="68" spans="1:12" hidden="1">
      <c r="A68" s="569">
        <v>1</v>
      </c>
      <c r="B68" s="37">
        <v>66</v>
      </c>
      <c r="C68" s="570">
        <v>41145</v>
      </c>
      <c r="D68" s="561" t="s">
        <v>362</v>
      </c>
      <c r="E68" s="561" t="s">
        <v>388</v>
      </c>
      <c r="F68" s="499" t="s">
        <v>454</v>
      </c>
      <c r="G68" s="571" t="s">
        <v>424</v>
      </c>
      <c r="H68" s="571" t="s">
        <v>431</v>
      </c>
      <c r="I68" s="571" t="str">
        <f>Table1[[#This Row],[Staff]]</f>
        <v>Nicole</v>
      </c>
      <c r="J68" s="570">
        <f>Table1[[#This Row],[Date]]</f>
        <v>41145</v>
      </c>
      <c r="K68" s="526"/>
      <c r="L68" s="526"/>
    </row>
    <row r="69" spans="1:12" hidden="1">
      <c r="A69" s="569">
        <v>1</v>
      </c>
      <c r="B69" s="37">
        <v>67</v>
      </c>
      <c r="C69" s="570">
        <v>41145</v>
      </c>
      <c r="D69" s="561" t="s">
        <v>362</v>
      </c>
      <c r="E69" s="561" t="s">
        <v>388</v>
      </c>
      <c r="F69" s="499" t="s">
        <v>455</v>
      </c>
      <c r="G69" s="571" t="s">
        <v>424</v>
      </c>
      <c r="H69" s="571" t="s">
        <v>431</v>
      </c>
      <c r="I69" s="571" t="str">
        <f>Table1[[#This Row],[Staff]]</f>
        <v>Nicole</v>
      </c>
      <c r="J69" s="570">
        <f>Table1[[#This Row],[Date]]</f>
        <v>41145</v>
      </c>
      <c r="K69" s="526"/>
      <c r="L69" s="526"/>
    </row>
    <row r="70" spans="1:12" hidden="1">
      <c r="A70" s="569">
        <v>1</v>
      </c>
      <c r="B70" s="37">
        <v>68</v>
      </c>
      <c r="C70" s="570">
        <v>41145</v>
      </c>
      <c r="D70" s="561" t="s">
        <v>362</v>
      </c>
      <c r="E70" s="561" t="s">
        <v>388</v>
      </c>
      <c r="F70" s="499" t="s">
        <v>456</v>
      </c>
      <c r="G70" s="571" t="s">
        <v>424</v>
      </c>
      <c r="H70" s="571" t="s">
        <v>431</v>
      </c>
      <c r="I70" s="571" t="str">
        <f>Table1[[#This Row],[Staff]]</f>
        <v>Nicole</v>
      </c>
      <c r="J70" s="570">
        <f>Table1[[#This Row],[Date]]</f>
        <v>41145</v>
      </c>
      <c r="K70" s="526"/>
      <c r="L70" s="526"/>
    </row>
    <row r="71" spans="1:12" hidden="1">
      <c r="A71" s="569">
        <v>1</v>
      </c>
      <c r="B71" s="37">
        <v>69</v>
      </c>
      <c r="C71" s="570">
        <v>41145</v>
      </c>
      <c r="D71" s="561" t="s">
        <v>362</v>
      </c>
      <c r="E71" s="561" t="s">
        <v>385</v>
      </c>
      <c r="F71" s="499" t="s">
        <v>457</v>
      </c>
      <c r="G71" s="571" t="s">
        <v>458</v>
      </c>
      <c r="H71" s="571" t="s">
        <v>459</v>
      </c>
      <c r="I71" s="571" t="str">
        <f>Table1[[#This Row],[Staff]]</f>
        <v>Nicole</v>
      </c>
      <c r="J71" s="570">
        <f>Table1[[#This Row],[Date]]</f>
        <v>41145</v>
      </c>
      <c r="K71" s="526"/>
      <c r="L71" s="526"/>
    </row>
    <row r="72" spans="1:12" hidden="1">
      <c r="A72" s="569">
        <v>1</v>
      </c>
      <c r="B72" s="37">
        <v>70</v>
      </c>
      <c r="C72" s="570">
        <v>41145</v>
      </c>
      <c r="D72" s="561" t="s">
        <v>362</v>
      </c>
      <c r="E72" s="561" t="s">
        <v>61</v>
      </c>
      <c r="F72" s="499" t="s">
        <v>425</v>
      </c>
      <c r="G72" s="571" t="s">
        <v>424</v>
      </c>
      <c r="H72" s="571" t="s">
        <v>431</v>
      </c>
      <c r="I72" s="571" t="str">
        <f>Table1[[#This Row],[Staff]]</f>
        <v>Nicole</v>
      </c>
      <c r="J72" s="570">
        <f>Table1[[#This Row],[Date]]</f>
        <v>41145</v>
      </c>
      <c r="K72" s="526"/>
      <c r="L72" s="526"/>
    </row>
    <row r="73" spans="1:12" hidden="1">
      <c r="A73" s="569">
        <v>1</v>
      </c>
      <c r="B73" s="37">
        <v>71</v>
      </c>
      <c r="C73" s="570">
        <v>41145</v>
      </c>
      <c r="D73" s="561" t="s">
        <v>362</v>
      </c>
      <c r="E73" s="561" t="s">
        <v>61</v>
      </c>
      <c r="F73" s="499" t="s">
        <v>460</v>
      </c>
      <c r="G73" s="571" t="s">
        <v>424</v>
      </c>
      <c r="H73" s="571" t="s">
        <v>431</v>
      </c>
      <c r="I73" s="571" t="str">
        <f>Table1[[#This Row],[Staff]]</f>
        <v>Nicole</v>
      </c>
      <c r="J73" s="570">
        <f>Table1[[#This Row],[Date]]</f>
        <v>41145</v>
      </c>
      <c r="K73" s="526"/>
      <c r="L73" s="526"/>
    </row>
    <row r="74" spans="1:12" hidden="1">
      <c r="A74" s="569">
        <v>1</v>
      </c>
      <c r="B74" s="37">
        <v>72</v>
      </c>
      <c r="C74" s="570">
        <v>41145</v>
      </c>
      <c r="D74" s="561" t="s">
        <v>362</v>
      </c>
      <c r="E74" s="561" t="s">
        <v>61</v>
      </c>
      <c r="F74" s="499" t="s">
        <v>461</v>
      </c>
      <c r="G74" s="571" t="s">
        <v>424</v>
      </c>
      <c r="H74" s="571" t="s">
        <v>431</v>
      </c>
      <c r="I74" s="571" t="str">
        <f>Table1[[#This Row],[Staff]]</f>
        <v>Nicole</v>
      </c>
      <c r="J74" s="570">
        <f>Table1[[#This Row],[Date]]</f>
        <v>41145</v>
      </c>
      <c r="K74" s="526"/>
      <c r="L74" s="526"/>
    </row>
    <row r="75" spans="1:12" hidden="1">
      <c r="A75" s="569">
        <v>1</v>
      </c>
      <c r="B75" s="37">
        <v>73</v>
      </c>
      <c r="C75" s="570">
        <v>41145</v>
      </c>
      <c r="D75" s="561" t="s">
        <v>362</v>
      </c>
      <c r="E75" s="561" t="s">
        <v>61</v>
      </c>
      <c r="F75" s="499" t="s">
        <v>462</v>
      </c>
      <c r="G75" s="571" t="s">
        <v>424</v>
      </c>
      <c r="H75" s="571" t="s">
        <v>431</v>
      </c>
      <c r="I75" s="571" t="str">
        <f>Table1[[#This Row],[Staff]]</f>
        <v>Nicole</v>
      </c>
      <c r="J75" s="570">
        <f>Table1[[#This Row],[Date]]</f>
        <v>41145</v>
      </c>
      <c r="K75" s="526"/>
      <c r="L75" s="526"/>
    </row>
    <row r="76" spans="1:12" hidden="1">
      <c r="A76" s="569">
        <v>1</v>
      </c>
      <c r="B76" s="37">
        <v>74</v>
      </c>
      <c r="C76" s="570">
        <v>41145</v>
      </c>
      <c r="D76" s="561" t="s">
        <v>362</v>
      </c>
      <c r="E76" s="561" t="s">
        <v>61</v>
      </c>
      <c r="F76" s="499" t="s">
        <v>463</v>
      </c>
      <c r="G76" s="571" t="s">
        <v>424</v>
      </c>
      <c r="H76" s="571" t="s">
        <v>431</v>
      </c>
      <c r="I76" s="571" t="str">
        <f>Table1[[#This Row],[Staff]]</f>
        <v>Nicole</v>
      </c>
      <c r="J76" s="570">
        <f>Table1[[#This Row],[Date]]</f>
        <v>41145</v>
      </c>
      <c r="K76" s="526"/>
      <c r="L76" s="526"/>
    </row>
    <row r="77" spans="1:12" hidden="1">
      <c r="A77" s="569">
        <v>1</v>
      </c>
      <c r="B77" s="37">
        <v>75</v>
      </c>
      <c r="C77" s="570">
        <v>41145</v>
      </c>
      <c r="D77" s="561" t="s">
        <v>362</v>
      </c>
      <c r="E77" s="561" t="s">
        <v>61</v>
      </c>
      <c r="F77" s="499" t="s">
        <v>464</v>
      </c>
      <c r="G77" s="571" t="s">
        <v>424</v>
      </c>
      <c r="H77" s="571" t="s">
        <v>431</v>
      </c>
      <c r="I77" s="571" t="str">
        <f>Table1[[#This Row],[Staff]]</f>
        <v>Nicole</v>
      </c>
      <c r="J77" s="570">
        <f>Table1[[#This Row],[Date]]</f>
        <v>41145</v>
      </c>
      <c r="K77" s="526"/>
      <c r="L77" s="526"/>
    </row>
    <row r="78" spans="1:12" hidden="1">
      <c r="A78" s="569">
        <v>1</v>
      </c>
      <c r="B78" s="37">
        <v>76</v>
      </c>
      <c r="C78" s="570">
        <v>41145</v>
      </c>
      <c r="D78" s="574" t="s">
        <v>362</v>
      </c>
      <c r="E78" s="561" t="s">
        <v>393</v>
      </c>
      <c r="F78" s="499" t="s">
        <v>465</v>
      </c>
      <c r="G78" s="571" t="s">
        <v>424</v>
      </c>
      <c r="H78" s="571" t="s">
        <v>431</v>
      </c>
      <c r="I78" s="571" t="str">
        <f>Table1[[#This Row],[Staff]]</f>
        <v>Nicole</v>
      </c>
      <c r="J78" s="570">
        <f>Table1[[#This Row],[Date]]</f>
        <v>41145</v>
      </c>
      <c r="K78" s="526"/>
      <c r="L78" s="526"/>
    </row>
    <row r="79" spans="1:12" hidden="1">
      <c r="A79" s="569">
        <v>1</v>
      </c>
      <c r="B79" s="37">
        <v>77</v>
      </c>
      <c r="C79" s="570">
        <v>41145</v>
      </c>
      <c r="D79" s="574" t="s">
        <v>362</v>
      </c>
      <c r="E79" s="561" t="s">
        <v>393</v>
      </c>
      <c r="F79" s="499" t="s">
        <v>466</v>
      </c>
      <c r="G79" s="571" t="s">
        <v>424</v>
      </c>
      <c r="H79" s="571" t="s">
        <v>431</v>
      </c>
      <c r="I79" s="571" t="str">
        <f>Table1[[#This Row],[Staff]]</f>
        <v>Nicole</v>
      </c>
      <c r="J79" s="570">
        <f>Table1[[#This Row],[Date]]</f>
        <v>41145</v>
      </c>
      <c r="K79" s="526"/>
      <c r="L79" s="526"/>
    </row>
    <row r="80" spans="1:12" hidden="1">
      <c r="A80" s="569">
        <v>1</v>
      </c>
      <c r="B80" s="37">
        <v>78</v>
      </c>
      <c r="C80" s="570">
        <v>41145</v>
      </c>
      <c r="D80" s="574" t="s">
        <v>362</v>
      </c>
      <c r="E80" s="561" t="s">
        <v>393</v>
      </c>
      <c r="F80" s="499" t="s">
        <v>427</v>
      </c>
      <c r="G80" s="571" t="s">
        <v>424</v>
      </c>
      <c r="H80" s="571" t="s">
        <v>431</v>
      </c>
      <c r="I80" s="571" t="str">
        <f>Table1[[#This Row],[Staff]]</f>
        <v>Nicole</v>
      </c>
      <c r="J80" s="570">
        <f>Table1[[#This Row],[Date]]</f>
        <v>41145</v>
      </c>
      <c r="K80" s="526"/>
      <c r="L80" s="526"/>
    </row>
    <row r="81" spans="1:35" hidden="1">
      <c r="A81" s="569">
        <v>1</v>
      </c>
      <c r="B81" s="37">
        <v>79</v>
      </c>
      <c r="C81" s="570">
        <v>41145</v>
      </c>
      <c r="D81" s="574" t="s">
        <v>362</v>
      </c>
      <c r="E81" s="561" t="s">
        <v>393</v>
      </c>
      <c r="F81" s="499" t="s">
        <v>467</v>
      </c>
      <c r="G81" s="571" t="s">
        <v>424</v>
      </c>
      <c r="H81" s="571" t="s">
        <v>431</v>
      </c>
      <c r="I81" s="571" t="str">
        <f>Table1[[#This Row],[Staff]]</f>
        <v>Nicole</v>
      </c>
      <c r="J81" s="570">
        <f>Table1[[#This Row],[Date]]</f>
        <v>41145</v>
      </c>
      <c r="K81" s="526"/>
      <c r="L81" s="526"/>
    </row>
    <row r="82" spans="1:35" hidden="1">
      <c r="A82" s="569">
        <v>1</v>
      </c>
      <c r="B82" s="37">
        <v>80</v>
      </c>
      <c r="C82" s="570">
        <v>41145</v>
      </c>
      <c r="D82" s="574" t="s">
        <v>362</v>
      </c>
      <c r="E82" s="561" t="s">
        <v>393</v>
      </c>
      <c r="F82" s="499" t="s">
        <v>468</v>
      </c>
      <c r="G82" s="571" t="s">
        <v>424</v>
      </c>
      <c r="H82" s="571" t="s">
        <v>431</v>
      </c>
      <c r="I82" s="571" t="str">
        <f>Table1[[#This Row],[Staff]]</f>
        <v>Nicole</v>
      </c>
      <c r="J82" s="570">
        <f>Table1[[#This Row],[Date]]</f>
        <v>41145</v>
      </c>
      <c r="K82" s="526"/>
      <c r="L82" s="526"/>
    </row>
    <row r="83" spans="1:35" hidden="1">
      <c r="A83" s="569">
        <v>1</v>
      </c>
      <c r="B83" s="37">
        <v>81</v>
      </c>
      <c r="C83" s="570">
        <v>41145</v>
      </c>
      <c r="D83" s="574" t="s">
        <v>362</v>
      </c>
      <c r="E83" s="561" t="s">
        <v>393</v>
      </c>
      <c r="F83" s="499" t="s">
        <v>469</v>
      </c>
      <c r="G83" s="571" t="s">
        <v>424</v>
      </c>
      <c r="H83" s="571" t="s">
        <v>431</v>
      </c>
      <c r="I83" s="571" t="str">
        <f>Table1[[#This Row],[Staff]]</f>
        <v>Nicole</v>
      </c>
      <c r="J83" s="570">
        <f>Table1[[#This Row],[Date]]</f>
        <v>41145</v>
      </c>
      <c r="K83" s="526"/>
      <c r="L83" s="526"/>
    </row>
    <row r="84" spans="1:35" hidden="1">
      <c r="A84" s="569">
        <v>1</v>
      </c>
      <c r="B84" s="37">
        <v>82</v>
      </c>
      <c r="C84" s="570">
        <v>41148</v>
      </c>
      <c r="D84" s="576" t="s">
        <v>362</v>
      </c>
      <c r="E84" s="576" t="s">
        <v>395</v>
      </c>
      <c r="F84" s="499" t="s">
        <v>465</v>
      </c>
      <c r="G84" s="571" t="s">
        <v>424</v>
      </c>
      <c r="H84" s="571" t="s">
        <v>431</v>
      </c>
      <c r="I84" s="571" t="str">
        <f>Table1[[#This Row],[Staff]]</f>
        <v>Nicole</v>
      </c>
      <c r="J84" s="570">
        <f>Table1[[#This Row],[Date]]</f>
        <v>41148</v>
      </c>
      <c r="K84" s="526"/>
      <c r="L84" s="526"/>
    </row>
    <row r="85" spans="1:35" s="574" customFormat="1" hidden="1">
      <c r="A85" s="569">
        <v>1</v>
      </c>
      <c r="B85" s="37">
        <v>83</v>
      </c>
      <c r="C85" s="570">
        <v>41148</v>
      </c>
      <c r="D85" s="576" t="s">
        <v>362</v>
      </c>
      <c r="E85" s="576" t="s">
        <v>395</v>
      </c>
      <c r="F85" s="499" t="s">
        <v>474</v>
      </c>
      <c r="G85" s="571" t="s">
        <v>424</v>
      </c>
      <c r="H85" s="571" t="s">
        <v>431</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362</v>
      </c>
      <c r="E86" s="576" t="s">
        <v>395</v>
      </c>
      <c r="F86" s="499" t="s">
        <v>466</v>
      </c>
      <c r="G86" s="571" t="s">
        <v>424</v>
      </c>
      <c r="H86" s="571" t="s">
        <v>431</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362</v>
      </c>
      <c r="E87" s="576" t="s">
        <v>395</v>
      </c>
      <c r="F87" s="499" t="s">
        <v>427</v>
      </c>
      <c r="G87" s="571" t="s">
        <v>424</v>
      </c>
      <c r="H87" s="571" t="s">
        <v>431</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362</v>
      </c>
      <c r="E88" s="576" t="s">
        <v>395</v>
      </c>
      <c r="F88" s="499" t="s">
        <v>467</v>
      </c>
      <c r="G88" s="571" t="s">
        <v>424</v>
      </c>
      <c r="H88" s="571" t="s">
        <v>431</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362</v>
      </c>
      <c r="E89" s="576" t="s">
        <v>395</v>
      </c>
      <c r="F89" s="499" t="s">
        <v>468</v>
      </c>
      <c r="G89" s="571" t="s">
        <v>424</v>
      </c>
      <c r="H89" s="571" t="s">
        <v>431</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362</v>
      </c>
      <c r="E90" s="576" t="s">
        <v>395</v>
      </c>
      <c r="F90" s="499" t="s">
        <v>469</v>
      </c>
      <c r="G90" s="571" t="s">
        <v>424</v>
      </c>
      <c r="H90" s="571" t="s">
        <v>431</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362</v>
      </c>
      <c r="E91" s="576" t="s">
        <v>401</v>
      </c>
      <c r="F91" s="499" t="s">
        <v>465</v>
      </c>
      <c r="G91" s="571" t="s">
        <v>424</v>
      </c>
      <c r="H91" s="571" t="s">
        <v>431</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362</v>
      </c>
      <c r="E92" s="576" t="s">
        <v>401</v>
      </c>
      <c r="F92" s="499" t="s">
        <v>466</v>
      </c>
      <c r="G92" s="571" t="s">
        <v>424</v>
      </c>
      <c r="H92" s="571" t="s">
        <v>431</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362</v>
      </c>
      <c r="E93" s="576" t="s">
        <v>401</v>
      </c>
      <c r="F93" s="499" t="s">
        <v>427</v>
      </c>
      <c r="G93" s="571" t="s">
        <v>424</v>
      </c>
      <c r="H93" s="571" t="s">
        <v>431</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362</v>
      </c>
      <c r="E94" s="576" t="s">
        <v>401</v>
      </c>
      <c r="F94" s="499" t="s">
        <v>467</v>
      </c>
      <c r="G94" s="571" t="s">
        <v>424</v>
      </c>
      <c r="H94" s="571" t="s">
        <v>431</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362</v>
      </c>
      <c r="E95" s="576" t="s">
        <v>401</v>
      </c>
      <c r="F95" s="499" t="s">
        <v>468</v>
      </c>
      <c r="G95" s="571" t="s">
        <v>424</v>
      </c>
      <c r="H95" s="571" t="s">
        <v>431</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362</v>
      </c>
      <c r="E96" s="576" t="s">
        <v>401</v>
      </c>
      <c r="F96" s="499" t="s">
        <v>469</v>
      </c>
      <c r="G96" s="571" t="s">
        <v>424</v>
      </c>
      <c r="H96" s="571" t="s">
        <v>431</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362</v>
      </c>
      <c r="E97" s="576" t="s">
        <v>401</v>
      </c>
      <c r="F97" s="499" t="s">
        <v>475</v>
      </c>
      <c r="G97" s="571" t="s">
        <v>424</v>
      </c>
      <c r="H97" s="571" t="s">
        <v>431</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362</v>
      </c>
      <c r="E98" s="576" t="s">
        <v>401</v>
      </c>
      <c r="F98" s="499" t="s">
        <v>476</v>
      </c>
      <c r="G98" s="571" t="s">
        <v>424</v>
      </c>
      <c r="H98" s="571" t="s">
        <v>431</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362</v>
      </c>
      <c r="E99" s="579" t="s">
        <v>406</v>
      </c>
      <c r="F99" s="499" t="s">
        <v>465</v>
      </c>
      <c r="G99" s="571" t="s">
        <v>424</v>
      </c>
      <c r="H99" s="571" t="s">
        <v>431</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362</v>
      </c>
      <c r="E100" s="579" t="s">
        <v>406</v>
      </c>
      <c r="F100" s="499" t="s">
        <v>466</v>
      </c>
      <c r="G100" s="571" t="s">
        <v>424</v>
      </c>
      <c r="H100" s="571" t="s">
        <v>431</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362</v>
      </c>
      <c r="E101" s="579" t="s">
        <v>406</v>
      </c>
      <c r="F101" s="499" t="s">
        <v>427</v>
      </c>
      <c r="G101" s="571" t="s">
        <v>424</v>
      </c>
      <c r="H101" s="571" t="s">
        <v>431</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362</v>
      </c>
      <c r="E102" s="579" t="s">
        <v>406</v>
      </c>
      <c r="F102" s="499" t="s">
        <v>467</v>
      </c>
      <c r="G102" s="571" t="s">
        <v>424</v>
      </c>
      <c r="H102" s="571" t="s">
        <v>431</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362</v>
      </c>
      <c r="E103" s="579" t="s">
        <v>406</v>
      </c>
      <c r="F103" s="499" t="s">
        <v>468</v>
      </c>
      <c r="G103" s="571" t="s">
        <v>424</v>
      </c>
      <c r="H103" s="571" t="s">
        <v>431</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362</v>
      </c>
      <c r="E104" s="579" t="s">
        <v>406</v>
      </c>
      <c r="F104" s="499" t="s">
        <v>469</v>
      </c>
      <c r="G104" s="571" t="s">
        <v>424</v>
      </c>
      <c r="H104" s="571" t="s">
        <v>431</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362</v>
      </c>
      <c r="E105" s="579" t="s">
        <v>409</v>
      </c>
      <c r="F105" s="499" t="s">
        <v>465</v>
      </c>
      <c r="G105" s="571" t="s">
        <v>424</v>
      </c>
      <c r="H105" s="571" t="s">
        <v>431</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362</v>
      </c>
      <c r="E106" s="579" t="s">
        <v>409</v>
      </c>
      <c r="F106" s="499" t="s">
        <v>466</v>
      </c>
      <c r="G106" s="571" t="s">
        <v>424</v>
      </c>
      <c r="H106" s="571" t="s">
        <v>431</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362</v>
      </c>
      <c r="E107" s="579" t="s">
        <v>77</v>
      </c>
      <c r="F107" s="499" t="s">
        <v>474</v>
      </c>
      <c r="G107" s="571" t="s">
        <v>424</v>
      </c>
      <c r="H107" s="571" t="s">
        <v>431</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362</v>
      </c>
      <c r="E108" s="579" t="s">
        <v>77</v>
      </c>
      <c r="F108" s="499" t="s">
        <v>477</v>
      </c>
      <c r="G108" s="571" t="s">
        <v>424</v>
      </c>
      <c r="H108" s="571" t="s">
        <v>431</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362</v>
      </c>
      <c r="E109" s="579" t="s">
        <v>77</v>
      </c>
      <c r="F109" s="499" t="s">
        <v>478</v>
      </c>
      <c r="G109" s="571" t="s">
        <v>424</v>
      </c>
      <c r="H109" s="571" t="s">
        <v>431</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362</v>
      </c>
      <c r="E110" s="579" t="s">
        <v>77</v>
      </c>
      <c r="F110" s="499" t="s">
        <v>479</v>
      </c>
      <c r="G110" s="571" t="s">
        <v>424</v>
      </c>
      <c r="H110" s="571" t="s">
        <v>431</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362</v>
      </c>
      <c r="E111" s="579" t="s">
        <v>77</v>
      </c>
      <c r="F111" s="499" t="s">
        <v>480</v>
      </c>
      <c r="G111" s="571" t="s">
        <v>424</v>
      </c>
      <c r="H111" s="571" t="s">
        <v>431</v>
      </c>
      <c r="I111" s="571" t="str">
        <f>Table1[[#This Row],[Staff]]</f>
        <v>Nicole</v>
      </c>
      <c r="J111" s="570">
        <f>Table1[[#This Row],[Date]]</f>
        <v>41148</v>
      </c>
      <c r="K111" s="526"/>
      <c r="L111" s="526"/>
    </row>
    <row r="112" spans="1:35" hidden="1">
      <c r="A112" s="569">
        <v>1</v>
      </c>
      <c r="B112" s="37">
        <v>110</v>
      </c>
      <c r="C112" s="570">
        <v>41148</v>
      </c>
      <c r="D112" s="579" t="s">
        <v>362</v>
      </c>
      <c r="E112" s="579" t="s">
        <v>77</v>
      </c>
      <c r="F112" s="499" t="s">
        <v>481</v>
      </c>
      <c r="G112" s="571" t="s">
        <v>424</v>
      </c>
      <c r="H112" s="571" t="s">
        <v>431</v>
      </c>
      <c r="I112" s="571" t="str">
        <f>Table1[[#This Row],[Staff]]</f>
        <v>Nicole</v>
      </c>
      <c r="J112" s="570">
        <f>Table1[[#This Row],[Date]]</f>
        <v>41148</v>
      </c>
      <c r="K112" s="526"/>
      <c r="L112" s="526"/>
    </row>
    <row r="113" spans="1:35" s="574" customFormat="1" hidden="1">
      <c r="A113" s="569">
        <v>1</v>
      </c>
      <c r="B113" s="37">
        <v>111</v>
      </c>
      <c r="C113" s="570">
        <v>41148</v>
      </c>
      <c r="D113" s="579" t="s">
        <v>362</v>
      </c>
      <c r="E113" s="579" t="s">
        <v>86</v>
      </c>
      <c r="F113" s="499" t="s">
        <v>465</v>
      </c>
      <c r="G113" s="571" t="s">
        <v>424</v>
      </c>
      <c r="H113" s="571" t="s">
        <v>431</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362</v>
      </c>
      <c r="E114" s="579" t="s">
        <v>86</v>
      </c>
      <c r="F114" s="499" t="s">
        <v>466</v>
      </c>
      <c r="G114" s="571" t="s">
        <v>424</v>
      </c>
      <c r="H114" s="571" t="s">
        <v>431</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362</v>
      </c>
      <c r="E115" s="579" t="s">
        <v>86</v>
      </c>
      <c r="F115" s="499" t="s">
        <v>427</v>
      </c>
      <c r="G115" s="571" t="s">
        <v>424</v>
      </c>
      <c r="H115" s="571" t="s">
        <v>431</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362</v>
      </c>
      <c r="E116" s="579" t="s">
        <v>86</v>
      </c>
      <c r="F116" s="499" t="s">
        <v>467</v>
      </c>
      <c r="G116" s="571" t="s">
        <v>424</v>
      </c>
      <c r="H116" s="571" t="s">
        <v>431</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362</v>
      </c>
      <c r="E117" s="579" t="s">
        <v>86</v>
      </c>
      <c r="F117" s="499" t="s">
        <v>468</v>
      </c>
      <c r="G117" s="571" t="s">
        <v>424</v>
      </c>
      <c r="H117" s="571" t="s">
        <v>431</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362</v>
      </c>
      <c r="E118" s="579" t="s">
        <v>86</v>
      </c>
      <c r="F118" s="499" t="s">
        <v>469</v>
      </c>
      <c r="G118" s="571" t="s">
        <v>424</v>
      </c>
      <c r="H118" s="571" t="s">
        <v>431</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362</v>
      </c>
      <c r="E119" s="579" t="s">
        <v>86</v>
      </c>
      <c r="F119" s="499" t="s">
        <v>475</v>
      </c>
      <c r="G119" s="571" t="s">
        <v>424</v>
      </c>
      <c r="H119" s="571" t="s">
        <v>431</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362</v>
      </c>
      <c r="E120" s="579" t="s">
        <v>86</v>
      </c>
      <c r="F120" s="499" t="s">
        <v>476</v>
      </c>
      <c r="G120" s="571" t="s">
        <v>424</v>
      </c>
      <c r="H120" s="571" t="s">
        <v>431</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362</v>
      </c>
      <c r="E121" s="579" t="s">
        <v>86</v>
      </c>
      <c r="F121" s="499" t="s">
        <v>482</v>
      </c>
      <c r="G121" s="571" t="s">
        <v>424</v>
      </c>
      <c r="H121" s="571" t="s">
        <v>431</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362</v>
      </c>
      <c r="E122" s="579" t="s">
        <v>86</v>
      </c>
      <c r="F122" s="499" t="s">
        <v>483</v>
      </c>
      <c r="G122" s="571" t="s">
        <v>424</v>
      </c>
      <c r="H122" s="571" t="s">
        <v>431</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362</v>
      </c>
      <c r="E123" s="579" t="s">
        <v>86</v>
      </c>
      <c r="F123" s="499" t="s">
        <v>484</v>
      </c>
      <c r="G123" s="571" t="s">
        <v>424</v>
      </c>
      <c r="H123" s="571" t="s">
        <v>431</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362</v>
      </c>
      <c r="E124" s="579" t="s">
        <v>86</v>
      </c>
      <c r="F124" s="499" t="s">
        <v>485</v>
      </c>
      <c r="G124" s="571" t="s">
        <v>424</v>
      </c>
      <c r="H124" s="571" t="s">
        <v>431</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362</v>
      </c>
      <c r="E125" s="579" t="s">
        <v>413</v>
      </c>
      <c r="F125" s="499" t="s">
        <v>486</v>
      </c>
      <c r="G125" s="571" t="s">
        <v>424</v>
      </c>
      <c r="H125" s="571" t="s">
        <v>431</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362</v>
      </c>
      <c r="E126" s="579" t="s">
        <v>413</v>
      </c>
      <c r="F126" s="499" t="s">
        <v>487</v>
      </c>
      <c r="G126" s="571" t="s">
        <v>424</v>
      </c>
      <c r="H126" s="571" t="s">
        <v>431</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362</v>
      </c>
      <c r="E127" s="579" t="s">
        <v>413</v>
      </c>
      <c r="F127" s="499" t="s">
        <v>488</v>
      </c>
      <c r="G127" s="571" t="s">
        <v>424</v>
      </c>
      <c r="H127" s="571" t="s">
        <v>431</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362</v>
      </c>
      <c r="E128" s="579" t="s">
        <v>413</v>
      </c>
      <c r="F128" s="499" t="s">
        <v>489</v>
      </c>
      <c r="G128" s="571" t="s">
        <v>424</v>
      </c>
      <c r="H128" s="571" t="s">
        <v>431</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362</v>
      </c>
      <c r="E129" s="579" t="s">
        <v>413</v>
      </c>
      <c r="F129" s="499" t="s">
        <v>490</v>
      </c>
      <c r="G129" s="571" t="s">
        <v>424</v>
      </c>
      <c r="H129" s="571" t="s">
        <v>431</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362</v>
      </c>
      <c r="E130" s="579" t="s">
        <v>413</v>
      </c>
      <c r="F130" s="499" t="s">
        <v>491</v>
      </c>
      <c r="G130" s="571" t="s">
        <v>424</v>
      </c>
      <c r="H130" s="571" t="s">
        <v>431</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362</v>
      </c>
      <c r="E131" s="579" t="s">
        <v>413</v>
      </c>
      <c r="F131" s="499" t="s">
        <v>492</v>
      </c>
      <c r="G131" s="571" t="s">
        <v>424</v>
      </c>
      <c r="H131" s="571" t="s">
        <v>431</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362</v>
      </c>
      <c r="E132" s="579" t="s">
        <v>413</v>
      </c>
      <c r="F132" s="499" t="s">
        <v>493</v>
      </c>
      <c r="G132" s="571" t="s">
        <v>424</v>
      </c>
      <c r="H132" s="571" t="s">
        <v>431</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362</v>
      </c>
      <c r="E133" s="579" t="s">
        <v>413</v>
      </c>
      <c r="F133" s="499" t="s">
        <v>494</v>
      </c>
      <c r="G133" s="571" t="s">
        <v>495</v>
      </c>
      <c r="H133" s="571" t="s">
        <v>496</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362</v>
      </c>
      <c r="E134" s="579" t="s">
        <v>86</v>
      </c>
      <c r="F134" s="499" t="s">
        <v>497</v>
      </c>
      <c r="G134" s="571" t="s">
        <v>499</v>
      </c>
      <c r="H134" s="571" t="s">
        <v>498</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362</v>
      </c>
      <c r="E135" s="579" t="s">
        <v>86</v>
      </c>
      <c r="F135" s="499" t="s">
        <v>500</v>
      </c>
      <c r="G135" s="571" t="s">
        <v>501</v>
      </c>
      <c r="H135" s="571" t="s">
        <v>502</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362</v>
      </c>
      <c r="E136" s="579" t="s">
        <v>86</v>
      </c>
      <c r="F136" s="499" t="s">
        <v>503</v>
      </c>
      <c r="G136" s="571" t="s">
        <v>495</v>
      </c>
      <c r="H136" s="571" t="s">
        <v>504</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362</v>
      </c>
      <c r="E137" s="579" t="s">
        <v>86</v>
      </c>
      <c r="F137" s="499" t="s">
        <v>506</v>
      </c>
      <c r="G137" s="571" t="s">
        <v>507</v>
      </c>
      <c r="H137" s="571" t="s">
        <v>508</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362</v>
      </c>
      <c r="E138" s="579" t="s">
        <v>77</v>
      </c>
      <c r="F138" s="499" t="s">
        <v>509</v>
      </c>
      <c r="G138" s="571" t="s">
        <v>499</v>
      </c>
      <c r="H138" s="571" t="s">
        <v>498</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362</v>
      </c>
      <c r="E139" s="579" t="s">
        <v>77</v>
      </c>
      <c r="F139" s="499" t="s">
        <v>511</v>
      </c>
      <c r="G139" s="571" t="s">
        <v>513</v>
      </c>
      <c r="H139" s="571" t="s">
        <v>512</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362</v>
      </c>
      <c r="E140" s="579" t="s">
        <v>77</v>
      </c>
      <c r="F140" s="499" t="s">
        <v>514</v>
      </c>
      <c r="G140" s="571" t="s">
        <v>513</v>
      </c>
      <c r="H140" s="571" t="s">
        <v>512</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362</v>
      </c>
      <c r="E141" s="579" t="s">
        <v>77</v>
      </c>
      <c r="F141" s="499" t="s">
        <v>515</v>
      </c>
      <c r="G141" s="571" t="s">
        <v>516</v>
      </c>
      <c r="H141" s="571" t="s">
        <v>517</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362</v>
      </c>
      <c r="E142" s="579" t="s">
        <v>409</v>
      </c>
      <c r="F142" s="499" t="s">
        <v>506</v>
      </c>
      <c r="G142" s="571" t="s">
        <v>507</v>
      </c>
      <c r="H142" s="571" t="s">
        <v>519</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362</v>
      </c>
      <c r="E143" s="579" t="s">
        <v>409</v>
      </c>
      <c r="F143" s="499" t="s">
        <v>497</v>
      </c>
      <c r="G143" s="571" t="s">
        <v>499</v>
      </c>
      <c r="H143" s="571" t="s">
        <v>498</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362</v>
      </c>
      <c r="E144" s="579" t="s">
        <v>86</v>
      </c>
      <c r="F144" s="499" t="s">
        <v>506</v>
      </c>
      <c r="G144" s="571" t="s">
        <v>501</v>
      </c>
      <c r="H144" s="571" t="s">
        <v>502</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362</v>
      </c>
      <c r="E145" s="579" t="s">
        <v>77</v>
      </c>
      <c r="F145" s="499" t="s">
        <v>506</v>
      </c>
      <c r="G145" s="571" t="s">
        <v>501</v>
      </c>
      <c r="H145" s="571" t="s">
        <v>502</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362</v>
      </c>
      <c r="E146" s="579" t="s">
        <v>77</v>
      </c>
      <c r="F146" s="499" t="s">
        <v>497</v>
      </c>
      <c r="G146" s="571" t="s">
        <v>520</v>
      </c>
      <c r="H146" s="571" t="s">
        <v>502</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362</v>
      </c>
      <c r="E147" s="579" t="s">
        <v>409</v>
      </c>
      <c r="F147" s="499" t="s">
        <v>506</v>
      </c>
      <c r="G147" s="571" t="s">
        <v>501</v>
      </c>
      <c r="H147" s="571" t="s">
        <v>502</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362</v>
      </c>
      <c r="E148" s="579" t="s">
        <v>409</v>
      </c>
      <c r="F148" s="499" t="s">
        <v>497</v>
      </c>
      <c r="G148" s="571" t="s">
        <v>499</v>
      </c>
      <c r="H148" s="571" t="s">
        <v>498</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362</v>
      </c>
      <c r="E149" s="579" t="s">
        <v>406</v>
      </c>
      <c r="F149" s="499" t="s">
        <v>500</v>
      </c>
      <c r="G149" s="571" t="s">
        <v>501</v>
      </c>
      <c r="H149" s="571" t="s">
        <v>502</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362</v>
      </c>
      <c r="E150" s="579" t="s">
        <v>406</v>
      </c>
      <c r="F150" s="499" t="s">
        <v>506</v>
      </c>
      <c r="G150" s="571" t="s">
        <v>520</v>
      </c>
      <c r="H150" s="571" t="s">
        <v>502</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362</v>
      </c>
      <c r="E151" s="579" t="s">
        <v>406</v>
      </c>
      <c r="F151" s="499" t="s">
        <v>506</v>
      </c>
      <c r="G151" s="571" t="s">
        <v>507</v>
      </c>
      <c r="H151" s="571" t="s">
        <v>522</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362</v>
      </c>
      <c r="E152" s="579" t="s">
        <v>406</v>
      </c>
      <c r="F152" s="499" t="s">
        <v>497</v>
      </c>
      <c r="G152" s="571" t="s">
        <v>499</v>
      </c>
      <c r="H152" s="571" t="s">
        <v>498</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362</v>
      </c>
      <c r="E153" s="579" t="s">
        <v>406</v>
      </c>
      <c r="F153" s="499" t="s">
        <v>523</v>
      </c>
      <c r="G153" s="571" t="s">
        <v>526</v>
      </c>
      <c r="H153" s="571" t="s">
        <v>524</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362</v>
      </c>
      <c r="E154" s="579" t="s">
        <v>406</v>
      </c>
      <c r="F154" s="499" t="s">
        <v>525</v>
      </c>
      <c r="G154" s="571" t="s">
        <v>526</v>
      </c>
      <c r="H154" s="571" t="s">
        <v>524</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362</v>
      </c>
      <c r="E155" s="579" t="s">
        <v>401</v>
      </c>
      <c r="F155" s="499" t="s">
        <v>506</v>
      </c>
      <c r="G155" s="571" t="s">
        <v>507</v>
      </c>
      <c r="H155" s="571" t="s">
        <v>528</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362</v>
      </c>
      <c r="E156" s="579" t="s">
        <v>401</v>
      </c>
      <c r="F156" s="499" t="s">
        <v>497</v>
      </c>
      <c r="G156" s="571" t="s">
        <v>499</v>
      </c>
      <c r="H156" s="571" t="s">
        <v>498</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362</v>
      </c>
      <c r="E157" s="579" t="s">
        <v>401</v>
      </c>
      <c r="F157" s="499" t="s">
        <v>500</v>
      </c>
      <c r="G157" s="571" t="s">
        <v>520</v>
      </c>
      <c r="H157" s="571" t="s">
        <v>502</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362</v>
      </c>
      <c r="E158" s="579" t="s">
        <v>401</v>
      </c>
      <c r="F158" s="499" t="s">
        <v>506</v>
      </c>
      <c r="G158" s="571" t="s">
        <v>520</v>
      </c>
      <c r="H158" s="571" t="s">
        <v>502</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362</v>
      </c>
      <c r="E159" s="579" t="s">
        <v>395</v>
      </c>
      <c r="F159" s="499" t="s">
        <v>500</v>
      </c>
      <c r="G159" s="571" t="s">
        <v>520</v>
      </c>
      <c r="H159" s="571" t="s">
        <v>502</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362</v>
      </c>
      <c r="E160" s="579" t="s">
        <v>395</v>
      </c>
      <c r="F160" s="499" t="s">
        <v>506</v>
      </c>
      <c r="G160" s="571" t="s">
        <v>507</v>
      </c>
      <c r="H160" s="571" t="s">
        <v>530</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362</v>
      </c>
      <c r="E161" s="579" t="s">
        <v>395</v>
      </c>
      <c r="F161" s="499" t="s">
        <v>506</v>
      </c>
      <c r="G161" s="571" t="s">
        <v>520</v>
      </c>
      <c r="H161" s="571" t="s">
        <v>502</v>
      </c>
      <c r="I161" s="571" t="s">
        <v>0</v>
      </c>
      <c r="J161" s="570">
        <f>Table1[[#This Row],[Date]]</f>
        <v>41148</v>
      </c>
      <c r="K161" s="526"/>
      <c r="L161" s="526"/>
    </row>
    <row r="162" spans="1:12" ht="28.5" hidden="1">
      <c r="A162" s="569">
        <v>1</v>
      </c>
      <c r="B162" s="37">
        <v>160</v>
      </c>
      <c r="C162" s="570">
        <v>41148</v>
      </c>
      <c r="D162" s="579" t="s">
        <v>362</v>
      </c>
      <c r="E162" s="579" t="s">
        <v>395</v>
      </c>
      <c r="F162" s="499" t="s">
        <v>497</v>
      </c>
      <c r="G162" s="571" t="s">
        <v>499</v>
      </c>
      <c r="H162" s="571" t="s">
        <v>498</v>
      </c>
      <c r="I162" s="571" t="s">
        <v>0</v>
      </c>
      <c r="J162" s="570">
        <f>Table1[[#This Row],[Date]]</f>
        <v>41148</v>
      </c>
      <c r="K162" s="526"/>
      <c r="L162" s="526"/>
    </row>
    <row r="163" spans="1:12" ht="28.5" hidden="1">
      <c r="A163" s="569">
        <v>1</v>
      </c>
      <c r="B163" s="37">
        <v>161</v>
      </c>
      <c r="C163" s="570">
        <v>41148</v>
      </c>
      <c r="D163" s="579" t="s">
        <v>362</v>
      </c>
      <c r="E163" s="579" t="s">
        <v>393</v>
      </c>
      <c r="F163" s="499" t="s">
        <v>500</v>
      </c>
      <c r="G163" s="571" t="s">
        <v>520</v>
      </c>
      <c r="H163" s="571" t="s">
        <v>502</v>
      </c>
      <c r="I163" s="571" t="s">
        <v>0</v>
      </c>
      <c r="J163" s="570">
        <f>Table1[[#This Row],[Date]]</f>
        <v>41148</v>
      </c>
      <c r="K163" s="526"/>
      <c r="L163" s="526"/>
    </row>
    <row r="164" spans="1:12" ht="28.5" hidden="1">
      <c r="A164" s="569">
        <v>1</v>
      </c>
      <c r="B164" s="37">
        <v>162</v>
      </c>
      <c r="C164" s="570">
        <v>41148</v>
      </c>
      <c r="D164" s="579" t="s">
        <v>362</v>
      </c>
      <c r="E164" s="579" t="s">
        <v>393</v>
      </c>
      <c r="F164" s="499" t="s">
        <v>506</v>
      </c>
      <c r="G164" s="571" t="s">
        <v>520</v>
      </c>
      <c r="H164" s="571" t="s">
        <v>502</v>
      </c>
      <c r="I164" s="571" t="s">
        <v>0</v>
      </c>
      <c r="J164" s="570">
        <f>Table1[[#This Row],[Date]]</f>
        <v>41148</v>
      </c>
      <c r="K164" s="526"/>
      <c r="L164" s="526"/>
    </row>
    <row r="165" spans="1:12" ht="28.5" hidden="1">
      <c r="A165" s="569">
        <v>1</v>
      </c>
      <c r="B165" s="37">
        <v>163</v>
      </c>
      <c r="C165" s="570">
        <v>41148</v>
      </c>
      <c r="D165" s="579" t="s">
        <v>362</v>
      </c>
      <c r="E165" s="579" t="s">
        <v>393</v>
      </c>
      <c r="F165" s="499" t="s">
        <v>497</v>
      </c>
      <c r="G165" s="571" t="s">
        <v>499</v>
      </c>
      <c r="H165" s="571" t="s">
        <v>498</v>
      </c>
      <c r="I165" s="571" t="s">
        <v>0</v>
      </c>
      <c r="J165" s="570">
        <f>Table1[[#This Row],[Date]]</f>
        <v>41148</v>
      </c>
      <c r="K165" s="526"/>
      <c r="L165" s="526"/>
    </row>
    <row r="166" spans="1:12" ht="28.5" hidden="1">
      <c r="A166" s="569">
        <v>1</v>
      </c>
      <c r="B166" s="37">
        <v>164</v>
      </c>
      <c r="C166" s="570">
        <v>41148</v>
      </c>
      <c r="D166" s="579" t="s">
        <v>362</v>
      </c>
      <c r="E166" s="579" t="s">
        <v>61</v>
      </c>
      <c r="F166" s="499" t="s">
        <v>500</v>
      </c>
      <c r="G166" s="571" t="s">
        <v>520</v>
      </c>
      <c r="H166" s="571" t="s">
        <v>502</v>
      </c>
      <c r="I166" s="571" t="s">
        <v>0</v>
      </c>
      <c r="J166" s="570">
        <f>Table1[[#This Row],[Date]]</f>
        <v>41148</v>
      </c>
      <c r="K166" s="526"/>
      <c r="L166" s="526"/>
    </row>
    <row r="167" spans="1:12" ht="28.5" hidden="1">
      <c r="A167" s="569">
        <v>1</v>
      </c>
      <c r="B167" s="37">
        <v>165</v>
      </c>
      <c r="C167" s="570">
        <v>41148</v>
      </c>
      <c r="D167" s="579" t="s">
        <v>362</v>
      </c>
      <c r="E167" s="579" t="s">
        <v>388</v>
      </c>
      <c r="F167" s="499" t="s">
        <v>500</v>
      </c>
      <c r="G167" s="571" t="s">
        <v>520</v>
      </c>
      <c r="H167" s="571" t="s">
        <v>502</v>
      </c>
      <c r="I167" s="571" t="s">
        <v>0</v>
      </c>
      <c r="J167" s="570">
        <f>Table1[[#This Row],[Date]]</f>
        <v>41148</v>
      </c>
      <c r="K167" s="526"/>
      <c r="L167" s="526"/>
    </row>
    <row r="168" spans="1:12" ht="28.5" hidden="1">
      <c r="A168" s="569">
        <v>1</v>
      </c>
      <c r="B168" s="37">
        <v>166</v>
      </c>
      <c r="C168" s="570">
        <v>41148</v>
      </c>
      <c r="D168" s="579" t="s">
        <v>362</v>
      </c>
      <c r="E168" s="579" t="s">
        <v>385</v>
      </c>
      <c r="F168" s="499" t="s">
        <v>523</v>
      </c>
      <c r="G168" s="571" t="s">
        <v>531</v>
      </c>
      <c r="H168" s="571" t="s">
        <v>532</v>
      </c>
      <c r="I168" s="571" t="s">
        <v>0</v>
      </c>
      <c r="J168" s="570">
        <f>Table1[[#This Row],[Date]]</f>
        <v>41148</v>
      </c>
      <c r="K168" s="526"/>
      <c r="L168" s="526"/>
    </row>
    <row r="169" spans="1:12" ht="28.5" hidden="1">
      <c r="A169" s="569">
        <v>1</v>
      </c>
      <c r="B169" s="37">
        <v>167</v>
      </c>
      <c r="C169" s="570">
        <v>41148</v>
      </c>
      <c r="D169" s="579" t="s">
        <v>362</v>
      </c>
      <c r="E169" s="579" t="s">
        <v>385</v>
      </c>
      <c r="F169" s="499" t="s">
        <v>533</v>
      </c>
      <c r="G169" s="571" t="s">
        <v>531</v>
      </c>
      <c r="H169" s="571" t="s">
        <v>532</v>
      </c>
      <c r="I169" s="571" t="s">
        <v>0</v>
      </c>
      <c r="J169" s="570">
        <f>Table1[[#This Row],[Date]]</f>
        <v>41148</v>
      </c>
      <c r="K169" s="526"/>
      <c r="L169" s="526"/>
    </row>
    <row r="170" spans="1:12" ht="28.5" hidden="1">
      <c r="A170" s="569">
        <v>1</v>
      </c>
      <c r="B170" s="37">
        <v>168</v>
      </c>
      <c r="C170" s="570">
        <v>41148</v>
      </c>
      <c r="D170" s="579" t="s">
        <v>362</v>
      </c>
      <c r="E170" s="579" t="s">
        <v>385</v>
      </c>
      <c r="F170" s="499" t="s">
        <v>534</v>
      </c>
      <c r="G170" s="571" t="s">
        <v>531</v>
      </c>
      <c r="H170" s="571" t="s">
        <v>532</v>
      </c>
      <c r="I170" s="571" t="s">
        <v>0</v>
      </c>
      <c r="J170" s="570">
        <f>Table1[[#This Row],[Date]]</f>
        <v>41148</v>
      </c>
      <c r="K170" s="526"/>
      <c r="L170" s="526"/>
    </row>
    <row r="171" spans="1:12" ht="28.5" hidden="1">
      <c r="A171" s="569">
        <v>1</v>
      </c>
      <c r="B171" s="37">
        <v>169</v>
      </c>
      <c r="C171" s="570">
        <v>41148</v>
      </c>
      <c r="D171" s="579" t="s">
        <v>362</v>
      </c>
      <c r="E171" s="579" t="s">
        <v>385</v>
      </c>
      <c r="F171" s="499" t="s">
        <v>535</v>
      </c>
      <c r="G171" s="571" t="s">
        <v>531</v>
      </c>
      <c r="H171" s="571" t="s">
        <v>532</v>
      </c>
      <c r="I171" s="571" t="s">
        <v>0</v>
      </c>
      <c r="J171" s="570">
        <f>Table1[[#This Row],[Date]]</f>
        <v>41148</v>
      </c>
      <c r="K171" s="526"/>
      <c r="L171" s="526"/>
    </row>
    <row r="172" spans="1:12" ht="28.5" hidden="1">
      <c r="A172" s="569">
        <v>1</v>
      </c>
      <c r="B172" s="37">
        <v>170</v>
      </c>
      <c r="C172" s="570">
        <v>41148</v>
      </c>
      <c r="D172" s="579" t="s">
        <v>362</v>
      </c>
      <c r="E172" s="579" t="s">
        <v>385</v>
      </c>
      <c r="F172" s="499" t="s">
        <v>536</v>
      </c>
      <c r="G172" s="571" t="s">
        <v>531</v>
      </c>
      <c r="H172" s="571" t="s">
        <v>532</v>
      </c>
      <c r="I172" s="571" t="s">
        <v>0</v>
      </c>
      <c r="J172" s="570">
        <f>Table1[[#This Row],[Date]]</f>
        <v>41148</v>
      </c>
      <c r="K172" s="526"/>
      <c r="L172" s="526"/>
    </row>
    <row r="173" spans="1:12" ht="28.5" hidden="1">
      <c r="A173" s="569">
        <v>1</v>
      </c>
      <c r="B173" s="37">
        <v>171</v>
      </c>
      <c r="C173" s="570">
        <v>41148</v>
      </c>
      <c r="D173" s="579" t="s">
        <v>362</v>
      </c>
      <c r="E173" s="579" t="s">
        <v>385</v>
      </c>
      <c r="F173" s="499" t="s">
        <v>537</v>
      </c>
      <c r="G173" s="571" t="s">
        <v>531</v>
      </c>
      <c r="H173" s="571" t="s">
        <v>532</v>
      </c>
      <c r="I173" s="571" t="s">
        <v>0</v>
      </c>
      <c r="J173" s="570">
        <f>Table1[[#This Row],[Date]]</f>
        <v>41148</v>
      </c>
      <c r="K173" s="526"/>
      <c r="L173" s="526"/>
    </row>
    <row r="174" spans="1:12" ht="28.5" hidden="1">
      <c r="A174" s="569">
        <v>1</v>
      </c>
      <c r="B174" s="37">
        <v>172</v>
      </c>
      <c r="C174" s="570">
        <v>41148</v>
      </c>
      <c r="D174" s="579" t="s">
        <v>362</v>
      </c>
      <c r="E174" s="579" t="s">
        <v>385</v>
      </c>
      <c r="F174" s="499" t="s">
        <v>538</v>
      </c>
      <c r="G174" s="571" t="s">
        <v>539</v>
      </c>
      <c r="H174" s="571" t="s">
        <v>540</v>
      </c>
      <c r="I174" s="581" t="str">
        <f>Table1[[#This Row],[Staff]]</f>
        <v>Nicole</v>
      </c>
      <c r="J174" s="570">
        <f>Table1[[#This Row],[Date]]</f>
        <v>41148</v>
      </c>
      <c r="K174" s="526"/>
      <c r="L174" s="526"/>
    </row>
    <row r="175" spans="1:12" ht="28.5" hidden="1">
      <c r="A175" s="569">
        <v>1</v>
      </c>
      <c r="B175" s="37">
        <v>173</v>
      </c>
      <c r="C175" s="570">
        <v>41148</v>
      </c>
      <c r="D175" s="579" t="s">
        <v>362</v>
      </c>
      <c r="E175" s="579" t="s">
        <v>385</v>
      </c>
      <c r="F175" s="499" t="s">
        <v>541</v>
      </c>
      <c r="G175" s="571" t="s">
        <v>539</v>
      </c>
      <c r="H175" s="571" t="s">
        <v>540</v>
      </c>
      <c r="I175" s="581" t="str">
        <f>Table1[[#This Row],[Staff]]</f>
        <v>Nicole</v>
      </c>
      <c r="J175" s="570">
        <f>Table1[[#This Row],[Date]]</f>
        <v>41148</v>
      </c>
      <c r="K175" s="526"/>
      <c r="L175" s="526"/>
    </row>
    <row r="176" spans="1:12" ht="28.5" hidden="1">
      <c r="A176" s="569">
        <v>1</v>
      </c>
      <c r="B176" s="37">
        <v>174</v>
      </c>
      <c r="C176" s="570">
        <v>41148</v>
      </c>
      <c r="D176" s="579" t="s">
        <v>362</v>
      </c>
      <c r="E176" s="579" t="s">
        <v>385</v>
      </c>
      <c r="F176" s="499" t="s">
        <v>542</v>
      </c>
      <c r="G176" s="571" t="s">
        <v>539</v>
      </c>
      <c r="H176" s="571" t="s">
        <v>540</v>
      </c>
      <c r="I176" s="581" t="str">
        <f>Table1[[#This Row],[Staff]]</f>
        <v>Nicole</v>
      </c>
      <c r="J176" s="570">
        <f>Table1[[#This Row],[Date]]</f>
        <v>41148</v>
      </c>
      <c r="K176" s="526"/>
      <c r="L176" s="526"/>
    </row>
    <row r="177" spans="1:12" ht="28.5" hidden="1">
      <c r="A177" s="569">
        <v>1</v>
      </c>
      <c r="B177" s="37">
        <v>175</v>
      </c>
      <c r="C177" s="570">
        <v>41148</v>
      </c>
      <c r="D177" s="579" t="s">
        <v>362</v>
      </c>
      <c r="E177" s="579" t="s">
        <v>385</v>
      </c>
      <c r="F177" s="499" t="s">
        <v>543</v>
      </c>
      <c r="G177" s="571" t="s">
        <v>539</v>
      </c>
      <c r="H177" s="571" t="s">
        <v>540</v>
      </c>
      <c r="I177" s="581" t="str">
        <f>Table1[[#This Row],[Staff]]</f>
        <v>Nicole</v>
      </c>
      <c r="J177" s="570">
        <f>Table1[[#This Row],[Date]]</f>
        <v>41148</v>
      </c>
      <c r="K177" s="526"/>
      <c r="L177" s="526"/>
    </row>
    <row r="178" spans="1:12" ht="28.5" hidden="1">
      <c r="A178" s="569">
        <v>1</v>
      </c>
      <c r="B178" s="37">
        <v>176</v>
      </c>
      <c r="C178" s="570">
        <v>41148</v>
      </c>
      <c r="D178" s="579" t="s">
        <v>362</v>
      </c>
      <c r="E178" s="579" t="s">
        <v>378</v>
      </c>
      <c r="F178" s="499" t="s">
        <v>544</v>
      </c>
      <c r="G178" s="571" t="s">
        <v>545</v>
      </c>
      <c r="H178" s="571" t="s">
        <v>502</v>
      </c>
      <c r="I178" s="581" t="str">
        <f>Table1[[#This Row],[Staff]]</f>
        <v>Nicole</v>
      </c>
      <c r="J178" s="570">
        <f>Table1[[#This Row],[Date]]</f>
        <v>41148</v>
      </c>
      <c r="K178" s="526"/>
      <c r="L178" s="526"/>
    </row>
    <row r="179" spans="1:12" ht="28.5" hidden="1">
      <c r="A179" s="569">
        <v>1</v>
      </c>
      <c r="B179" s="37">
        <v>177</v>
      </c>
      <c r="C179" s="570">
        <v>41148</v>
      </c>
      <c r="D179" s="579" t="s">
        <v>362</v>
      </c>
      <c r="E179" s="579" t="s">
        <v>378</v>
      </c>
      <c r="F179" s="499" t="s">
        <v>546</v>
      </c>
      <c r="G179" s="571" t="s">
        <v>547</v>
      </c>
      <c r="H179" s="571" t="s">
        <v>548</v>
      </c>
      <c r="I179" s="581" t="str">
        <f>Table1[[#This Row],[Staff]]</f>
        <v>Nicole</v>
      </c>
      <c r="J179" s="570">
        <f>Table1[[#This Row],[Date]]</f>
        <v>41148</v>
      </c>
      <c r="K179" s="526"/>
      <c r="L179" s="526"/>
    </row>
    <row r="180" spans="1:12" ht="28.5" hidden="1">
      <c r="A180" s="569">
        <v>1</v>
      </c>
      <c r="B180" s="37">
        <v>178</v>
      </c>
      <c r="C180" s="570">
        <v>41148</v>
      </c>
      <c r="D180" s="579" t="s">
        <v>362</v>
      </c>
      <c r="E180" s="579" t="s">
        <v>378</v>
      </c>
      <c r="F180" s="499" t="s">
        <v>549</v>
      </c>
      <c r="G180" s="571" t="s">
        <v>550</v>
      </c>
      <c r="H180" s="571" t="s">
        <v>551</v>
      </c>
      <c r="I180" s="581" t="str">
        <f>Table1[[#This Row],[Staff]]</f>
        <v>Nicole</v>
      </c>
      <c r="J180" s="570">
        <f>Table1[[#This Row],[Date]]</f>
        <v>41148</v>
      </c>
      <c r="K180" s="526"/>
      <c r="L180" s="526"/>
    </row>
    <row r="181" spans="1:12" ht="28.5" hidden="1">
      <c r="A181" s="569">
        <v>1</v>
      </c>
      <c r="B181" s="37">
        <v>179</v>
      </c>
      <c r="C181" s="570">
        <v>41148</v>
      </c>
      <c r="D181" s="580" t="s">
        <v>362</v>
      </c>
      <c r="E181" s="580" t="s">
        <v>160</v>
      </c>
      <c r="F181" s="499" t="s">
        <v>506</v>
      </c>
      <c r="G181" s="571" t="s">
        <v>552</v>
      </c>
      <c r="H181" s="571" t="s">
        <v>553</v>
      </c>
      <c r="I181" s="581" t="str">
        <f>Table1[[#This Row],[Staff]]</f>
        <v>Nicole</v>
      </c>
      <c r="J181" s="570">
        <f>Table1[[#This Row],[Date]]</f>
        <v>41148</v>
      </c>
      <c r="K181" s="526"/>
      <c r="L181" s="526"/>
    </row>
    <row r="182" spans="1:12" ht="28.5" hidden="1">
      <c r="A182" s="569">
        <v>1</v>
      </c>
      <c r="B182" s="37">
        <v>180</v>
      </c>
      <c r="C182" s="570">
        <v>41148</v>
      </c>
      <c r="D182" s="580" t="s">
        <v>362</v>
      </c>
      <c r="E182" s="580" t="s">
        <v>160</v>
      </c>
      <c r="F182" s="499" t="s">
        <v>523</v>
      </c>
      <c r="G182" s="571" t="s">
        <v>552</v>
      </c>
      <c r="H182" s="571" t="s">
        <v>553</v>
      </c>
      <c r="I182" s="581" t="str">
        <f>Table1[[#This Row],[Staff]]</f>
        <v>Nicole</v>
      </c>
      <c r="J182" s="570">
        <f>Table1[[#This Row],[Date]]</f>
        <v>41148</v>
      </c>
      <c r="K182" s="526"/>
      <c r="L182" s="526"/>
    </row>
    <row r="183" spans="1:12" ht="28.5" hidden="1">
      <c r="A183" s="569">
        <v>1</v>
      </c>
      <c r="B183" s="37">
        <v>181</v>
      </c>
      <c r="C183" s="570">
        <v>41148</v>
      </c>
      <c r="D183" s="580" t="s">
        <v>362</v>
      </c>
      <c r="E183" s="580" t="s">
        <v>160</v>
      </c>
      <c r="F183" s="499" t="s">
        <v>537</v>
      </c>
      <c r="G183" s="571" t="s">
        <v>552</v>
      </c>
      <c r="H183" s="571" t="s">
        <v>553</v>
      </c>
      <c r="I183" s="581" t="str">
        <f>Table1[[#This Row],[Staff]]</f>
        <v>Nicole</v>
      </c>
      <c r="J183" s="570">
        <f>Table1[[#This Row],[Date]]</f>
        <v>41148</v>
      </c>
      <c r="K183" s="526"/>
      <c r="L183" s="526"/>
    </row>
    <row r="184" spans="1:12" ht="28.5" hidden="1">
      <c r="A184" s="569">
        <v>1</v>
      </c>
      <c r="B184" s="37">
        <v>182</v>
      </c>
      <c r="C184" s="570">
        <v>41148</v>
      </c>
      <c r="D184" s="580" t="s">
        <v>362</v>
      </c>
      <c r="E184" s="580" t="s">
        <v>378</v>
      </c>
      <c r="F184" s="499" t="s">
        <v>515</v>
      </c>
      <c r="G184" s="571" t="s">
        <v>555</v>
      </c>
      <c r="H184" s="571" t="s">
        <v>472</v>
      </c>
      <c r="I184" s="581" t="str">
        <f>Table1[[#This Row],[Staff]]</f>
        <v>Nicole</v>
      </c>
      <c r="J184" s="570">
        <f>Table1[[#This Row],[Date]]</f>
        <v>41148</v>
      </c>
      <c r="K184" s="526"/>
      <c r="L184" s="526"/>
    </row>
    <row r="185" spans="1:12" hidden="1">
      <c r="A185" s="569">
        <v>1</v>
      </c>
      <c r="B185" s="37">
        <v>183</v>
      </c>
      <c r="C185" s="570">
        <v>41148</v>
      </c>
      <c r="D185" s="580" t="s">
        <v>362</v>
      </c>
      <c r="E185" s="580" t="s">
        <v>160</v>
      </c>
      <c r="F185" s="499" t="s">
        <v>559</v>
      </c>
      <c r="G185" s="571" t="s">
        <v>560</v>
      </c>
      <c r="H185" s="571" t="s">
        <v>561</v>
      </c>
      <c r="I185" s="581" t="str">
        <f>Table1[[#This Row],[Staff]]</f>
        <v>Nicole</v>
      </c>
      <c r="J185" s="570">
        <f>Table1[[#This Row],[Date]]</f>
        <v>41148</v>
      </c>
      <c r="K185" s="526"/>
      <c r="L185" s="526"/>
    </row>
    <row r="186" spans="1:12" hidden="1">
      <c r="A186" s="569">
        <v>1</v>
      </c>
      <c r="B186" s="37">
        <v>184</v>
      </c>
      <c r="C186" s="570">
        <v>41148</v>
      </c>
      <c r="D186" s="580" t="s">
        <v>362</v>
      </c>
      <c r="E186" s="580" t="s">
        <v>378</v>
      </c>
      <c r="F186" s="499" t="s">
        <v>562</v>
      </c>
      <c r="G186" s="571" t="s">
        <v>560</v>
      </c>
      <c r="H186" s="571" t="s">
        <v>561</v>
      </c>
      <c r="I186" s="581" t="str">
        <f>Table1[[#This Row],[Staff]]</f>
        <v>Nicole</v>
      </c>
      <c r="J186" s="570">
        <f>Table1[[#This Row],[Date]]</f>
        <v>41148</v>
      </c>
      <c r="K186" s="526"/>
      <c r="L186" s="526"/>
    </row>
    <row r="187" spans="1:12" hidden="1">
      <c r="A187" s="569">
        <v>1</v>
      </c>
      <c r="B187" s="37">
        <v>185</v>
      </c>
      <c r="C187" s="570">
        <v>41148</v>
      </c>
      <c r="D187" s="580" t="s">
        <v>362</v>
      </c>
      <c r="E187" s="580" t="s">
        <v>8</v>
      </c>
      <c r="F187" s="499" t="s">
        <v>562</v>
      </c>
      <c r="G187" s="571" t="s">
        <v>560</v>
      </c>
      <c r="H187" s="571" t="s">
        <v>561</v>
      </c>
      <c r="I187" s="581" t="str">
        <f>Table1[[#This Row],[Staff]]</f>
        <v>Nicole</v>
      </c>
      <c r="J187" s="570">
        <f>Table1[[#This Row],[Date]]</f>
        <v>41148</v>
      </c>
      <c r="K187" s="526"/>
      <c r="L187" s="526"/>
    </row>
    <row r="188" spans="1:12" hidden="1">
      <c r="A188" s="569">
        <v>1</v>
      </c>
      <c r="B188" s="37">
        <v>186</v>
      </c>
      <c r="C188" s="570">
        <v>41148</v>
      </c>
      <c r="D188" s="580" t="s">
        <v>362</v>
      </c>
      <c r="E188" s="580" t="s">
        <v>385</v>
      </c>
      <c r="F188" s="499" t="s">
        <v>562</v>
      </c>
      <c r="G188" s="571" t="s">
        <v>560</v>
      </c>
      <c r="H188" s="571" t="s">
        <v>561</v>
      </c>
      <c r="I188" s="581" t="str">
        <f>Table1[[#This Row],[Staff]]</f>
        <v>Nicole</v>
      </c>
      <c r="J188" s="570">
        <f>Table1[[#This Row],[Date]]</f>
        <v>41148</v>
      </c>
      <c r="K188" s="526"/>
      <c r="L188" s="526"/>
    </row>
    <row r="189" spans="1:12" hidden="1">
      <c r="A189" s="569">
        <v>1</v>
      </c>
      <c r="B189" s="37">
        <v>187</v>
      </c>
      <c r="C189" s="570">
        <v>41148</v>
      </c>
      <c r="D189" s="580" t="s">
        <v>362</v>
      </c>
      <c r="E189" s="580" t="s">
        <v>388</v>
      </c>
      <c r="F189" s="499" t="s">
        <v>562</v>
      </c>
      <c r="G189" s="571" t="s">
        <v>560</v>
      </c>
      <c r="H189" s="571" t="s">
        <v>561</v>
      </c>
      <c r="I189" s="581" t="str">
        <f>Table1[[#This Row],[Staff]]</f>
        <v>Nicole</v>
      </c>
      <c r="J189" s="570">
        <f>Table1[[#This Row],[Date]]</f>
        <v>41148</v>
      </c>
      <c r="K189" s="526"/>
      <c r="L189" s="526"/>
    </row>
    <row r="190" spans="1:12" hidden="1">
      <c r="A190" s="569">
        <v>1</v>
      </c>
      <c r="B190" s="37">
        <v>188</v>
      </c>
      <c r="C190" s="570">
        <v>41148</v>
      </c>
      <c r="D190" s="580" t="s">
        <v>362</v>
      </c>
      <c r="E190" s="580" t="s">
        <v>61</v>
      </c>
      <c r="F190" s="499" t="s">
        <v>562</v>
      </c>
      <c r="G190" s="571" t="s">
        <v>560</v>
      </c>
      <c r="H190" s="571" t="s">
        <v>561</v>
      </c>
      <c r="I190" s="581" t="str">
        <f>Table1[[#This Row],[Staff]]</f>
        <v>Nicole</v>
      </c>
      <c r="J190" s="570">
        <f>Table1[[#This Row],[Date]]</f>
        <v>41148</v>
      </c>
      <c r="K190" s="526"/>
      <c r="L190" s="526"/>
    </row>
    <row r="191" spans="1:12" hidden="1">
      <c r="A191" s="569">
        <v>1</v>
      </c>
      <c r="B191" s="37">
        <v>189</v>
      </c>
      <c r="C191" s="570">
        <v>41148</v>
      </c>
      <c r="D191" s="580" t="s">
        <v>362</v>
      </c>
      <c r="E191" s="580" t="s">
        <v>393</v>
      </c>
      <c r="F191" s="499" t="s">
        <v>562</v>
      </c>
      <c r="G191" s="571" t="s">
        <v>560</v>
      </c>
      <c r="H191" s="571" t="s">
        <v>561</v>
      </c>
      <c r="I191" s="581" t="str">
        <f>Table1[[#This Row],[Staff]]</f>
        <v>Nicole</v>
      </c>
      <c r="J191" s="570">
        <f>Table1[[#This Row],[Date]]</f>
        <v>41148</v>
      </c>
      <c r="K191" s="526"/>
      <c r="L191" s="526"/>
    </row>
    <row r="192" spans="1:12" hidden="1">
      <c r="A192" s="569">
        <v>1</v>
      </c>
      <c r="B192" s="37">
        <v>190</v>
      </c>
      <c r="C192" s="570">
        <v>41148</v>
      </c>
      <c r="D192" s="580" t="s">
        <v>362</v>
      </c>
      <c r="E192" s="580" t="s">
        <v>395</v>
      </c>
      <c r="F192" s="499" t="s">
        <v>562</v>
      </c>
      <c r="G192" s="571" t="s">
        <v>560</v>
      </c>
      <c r="H192" s="571" t="s">
        <v>561</v>
      </c>
      <c r="I192" s="581" t="str">
        <f>Table1[[#This Row],[Staff]]</f>
        <v>Nicole</v>
      </c>
      <c r="J192" s="570">
        <f>Table1[[#This Row],[Date]]</f>
        <v>41148</v>
      </c>
      <c r="K192" s="526"/>
      <c r="L192" s="526"/>
    </row>
    <row r="193" spans="1:12" hidden="1">
      <c r="A193" s="569">
        <v>1</v>
      </c>
      <c r="B193" s="37">
        <v>191</v>
      </c>
      <c r="C193" s="570">
        <v>41148</v>
      </c>
      <c r="D193" s="580" t="s">
        <v>362</v>
      </c>
      <c r="E193" s="580" t="s">
        <v>401</v>
      </c>
      <c r="F193" s="499" t="s">
        <v>562</v>
      </c>
      <c r="G193" s="571" t="s">
        <v>560</v>
      </c>
      <c r="H193" s="571" t="s">
        <v>561</v>
      </c>
      <c r="I193" s="581" t="str">
        <f>Table1[[#This Row],[Staff]]</f>
        <v>Nicole</v>
      </c>
      <c r="J193" s="570">
        <f>Table1[[#This Row],[Date]]</f>
        <v>41148</v>
      </c>
      <c r="K193" s="526"/>
      <c r="L193" s="526"/>
    </row>
    <row r="194" spans="1:12" hidden="1">
      <c r="A194" s="569">
        <v>1</v>
      </c>
      <c r="B194" s="37">
        <v>192</v>
      </c>
      <c r="C194" s="570">
        <v>41148</v>
      </c>
      <c r="D194" s="580" t="s">
        <v>362</v>
      </c>
      <c r="E194" s="580" t="s">
        <v>406</v>
      </c>
      <c r="F194" s="499" t="s">
        <v>562</v>
      </c>
      <c r="G194" s="571" t="s">
        <v>560</v>
      </c>
      <c r="H194" s="571" t="s">
        <v>561</v>
      </c>
      <c r="I194" s="581" t="str">
        <f>Table1[[#This Row],[Staff]]</f>
        <v>Nicole</v>
      </c>
      <c r="J194" s="570">
        <f>Table1[[#This Row],[Date]]</f>
        <v>41148</v>
      </c>
      <c r="K194" s="526"/>
      <c r="L194" s="526"/>
    </row>
    <row r="195" spans="1:12" hidden="1">
      <c r="A195" s="569">
        <v>1</v>
      </c>
      <c r="B195" s="37">
        <v>193</v>
      </c>
      <c r="C195" s="570">
        <v>41148</v>
      </c>
      <c r="D195" s="580" t="s">
        <v>362</v>
      </c>
      <c r="E195" s="580" t="s">
        <v>409</v>
      </c>
      <c r="F195" s="499" t="s">
        <v>562</v>
      </c>
      <c r="G195" s="571" t="s">
        <v>560</v>
      </c>
      <c r="H195" s="571" t="s">
        <v>561</v>
      </c>
      <c r="I195" s="581" t="str">
        <f>Table1[[#This Row],[Staff]]</f>
        <v>Nicole</v>
      </c>
      <c r="J195" s="570">
        <f>Table1[[#This Row],[Date]]</f>
        <v>41148</v>
      </c>
      <c r="K195" s="526"/>
      <c r="L195" s="526"/>
    </row>
    <row r="196" spans="1:12" hidden="1">
      <c r="A196" s="569">
        <v>1</v>
      </c>
      <c r="B196" s="37">
        <v>194</v>
      </c>
      <c r="C196" s="570">
        <v>41148</v>
      </c>
      <c r="D196" s="580" t="s">
        <v>362</v>
      </c>
      <c r="E196" s="580" t="s">
        <v>77</v>
      </c>
      <c r="F196" s="499" t="s">
        <v>562</v>
      </c>
      <c r="G196" s="571" t="s">
        <v>560</v>
      </c>
      <c r="H196" s="571" t="s">
        <v>561</v>
      </c>
      <c r="I196" s="581" t="str">
        <f>Table1[[#This Row],[Staff]]</f>
        <v>Nicole</v>
      </c>
      <c r="J196" s="570">
        <f>Table1[[#This Row],[Date]]</f>
        <v>41148</v>
      </c>
      <c r="K196" s="526"/>
      <c r="L196" s="526"/>
    </row>
    <row r="197" spans="1:12" hidden="1">
      <c r="A197" s="569">
        <v>1</v>
      </c>
      <c r="B197" s="37">
        <v>195</v>
      </c>
      <c r="C197" s="570">
        <v>41148</v>
      </c>
      <c r="D197" s="580" t="s">
        <v>362</v>
      </c>
      <c r="E197" s="580" t="s">
        <v>86</v>
      </c>
      <c r="F197" s="499" t="s">
        <v>562</v>
      </c>
      <c r="G197" s="571" t="s">
        <v>560</v>
      </c>
      <c r="H197" s="571" t="s">
        <v>561</v>
      </c>
      <c r="I197" s="581" t="str">
        <f>Table1[[#This Row],[Staff]]</f>
        <v>Nicole</v>
      </c>
      <c r="J197" s="570">
        <f>Table1[[#This Row],[Date]]</f>
        <v>41148</v>
      </c>
      <c r="K197" s="526"/>
      <c r="L197" s="526"/>
    </row>
    <row r="198" spans="1:12" hidden="1">
      <c r="A198" s="569">
        <v>1</v>
      </c>
      <c r="B198" s="37">
        <v>196</v>
      </c>
      <c r="C198" s="570">
        <v>41148</v>
      </c>
      <c r="D198" s="580" t="s">
        <v>362</v>
      </c>
      <c r="E198" s="580" t="s">
        <v>413</v>
      </c>
      <c r="F198" s="499" t="s">
        <v>562</v>
      </c>
      <c r="G198" s="571" t="s">
        <v>560</v>
      </c>
      <c r="H198" s="571" t="s">
        <v>561</v>
      </c>
      <c r="I198" s="581" t="str">
        <f>Table1[[#This Row],[Staff]]</f>
        <v>Nicole</v>
      </c>
      <c r="J198" s="570">
        <f>Table1[[#This Row],[Date]]</f>
        <v>41148</v>
      </c>
      <c r="K198" s="526"/>
      <c r="L198" s="526"/>
    </row>
    <row r="199" spans="1:12" ht="28.5" hidden="1">
      <c r="A199" s="569">
        <v>1</v>
      </c>
      <c r="B199" s="37">
        <v>197</v>
      </c>
      <c r="C199" s="570">
        <v>41148</v>
      </c>
      <c r="D199" s="580" t="s">
        <v>362</v>
      </c>
      <c r="E199" s="580" t="s">
        <v>369</v>
      </c>
      <c r="F199" s="499" t="s">
        <v>563</v>
      </c>
      <c r="G199" s="571" t="s">
        <v>564</v>
      </c>
      <c r="H199" s="571" t="s">
        <v>565</v>
      </c>
      <c r="I199" s="581" t="str">
        <f>Table1[[#This Row],[Staff]]</f>
        <v>Nicole</v>
      </c>
      <c r="J199" s="570">
        <f>Table1[[#This Row],[Date]]</f>
        <v>41148</v>
      </c>
      <c r="K199" s="526"/>
      <c r="L199" s="526"/>
    </row>
    <row r="200" spans="1:12" ht="28.5" hidden="1">
      <c r="A200" s="569">
        <v>1</v>
      </c>
      <c r="B200" s="37">
        <v>198</v>
      </c>
      <c r="C200" s="570">
        <v>41148</v>
      </c>
      <c r="D200" s="580" t="s">
        <v>362</v>
      </c>
      <c r="E200" s="580" t="s">
        <v>369</v>
      </c>
      <c r="F200" s="499" t="s">
        <v>566</v>
      </c>
      <c r="G200" s="571" t="s">
        <v>567</v>
      </c>
      <c r="H200" s="571" t="s">
        <v>502</v>
      </c>
      <c r="I200" s="581" t="str">
        <f>Table1[[#This Row],[Staff]]</f>
        <v>Nicole</v>
      </c>
      <c r="J200" s="570">
        <f>Table1[[#This Row],[Date]]</f>
        <v>41148</v>
      </c>
      <c r="K200" s="526"/>
      <c r="L200" s="526"/>
    </row>
    <row r="201" spans="1:12" hidden="1">
      <c r="A201" s="569">
        <v>1</v>
      </c>
      <c r="B201" s="37">
        <v>199</v>
      </c>
      <c r="C201" s="570">
        <v>41148</v>
      </c>
      <c r="D201" s="580" t="s">
        <v>362</v>
      </c>
      <c r="E201" s="580" t="s">
        <v>160</v>
      </c>
      <c r="F201" s="499" t="s">
        <v>568</v>
      </c>
      <c r="G201" s="571" t="s">
        <v>570</v>
      </c>
      <c r="H201" s="571" t="s">
        <v>571</v>
      </c>
      <c r="I201" s="581" t="str">
        <f>Table1[[#This Row],[Staff]]</f>
        <v>Nicole</v>
      </c>
      <c r="J201" s="570">
        <f>Table1[[#This Row],[Date]]</f>
        <v>41148</v>
      </c>
      <c r="K201" s="526"/>
      <c r="L201" s="526"/>
    </row>
    <row r="202" spans="1:12" hidden="1">
      <c r="A202" s="569">
        <v>1</v>
      </c>
      <c r="B202" s="37">
        <v>200</v>
      </c>
      <c r="C202" s="570">
        <v>41148</v>
      </c>
      <c r="D202" s="580" t="s">
        <v>362</v>
      </c>
      <c r="E202" s="580" t="s">
        <v>160</v>
      </c>
      <c r="F202" s="499" t="s">
        <v>569</v>
      </c>
      <c r="G202" s="571" t="s">
        <v>570</v>
      </c>
      <c r="H202" s="571" t="s">
        <v>571</v>
      </c>
      <c r="I202" s="581" t="str">
        <f>Table1[[#This Row],[Staff]]</f>
        <v>Nicole</v>
      </c>
      <c r="J202" s="570">
        <f>Table1[[#This Row],[Date]]</f>
        <v>41148</v>
      </c>
      <c r="K202" s="526"/>
      <c r="L202" s="526"/>
    </row>
    <row r="203" spans="1:12" ht="42.75" hidden="1">
      <c r="A203" s="569">
        <v>1</v>
      </c>
      <c r="B203" s="37">
        <v>201</v>
      </c>
      <c r="C203" s="570">
        <v>41148</v>
      </c>
      <c r="D203" s="580" t="s">
        <v>362</v>
      </c>
      <c r="E203" s="580" t="s">
        <v>61</v>
      </c>
      <c r="F203" s="499" t="s">
        <v>572</v>
      </c>
      <c r="G203" s="571" t="s">
        <v>573</v>
      </c>
      <c r="H203" s="571" t="s">
        <v>574</v>
      </c>
      <c r="I203" s="581" t="str">
        <f>Table1[[#This Row],[Staff]]</f>
        <v>Nicole</v>
      </c>
      <c r="J203" s="570">
        <f>Table1[[#This Row],[Date]]</f>
        <v>41148</v>
      </c>
      <c r="K203" s="526"/>
      <c r="L203" s="526"/>
    </row>
    <row r="204" spans="1:12" ht="28.5" hidden="1">
      <c r="A204" s="569">
        <v>1</v>
      </c>
      <c r="B204" s="37">
        <v>202</v>
      </c>
      <c r="C204" s="570">
        <v>41148</v>
      </c>
      <c r="D204" s="580" t="s">
        <v>362</v>
      </c>
      <c r="E204" s="580" t="s">
        <v>385</v>
      </c>
      <c r="F204" s="499" t="s">
        <v>572</v>
      </c>
      <c r="G204" s="571" t="s">
        <v>575</v>
      </c>
      <c r="H204" s="571" t="s">
        <v>576</v>
      </c>
      <c r="I204" s="581" t="str">
        <f>Table1[[#This Row],[Staff]]</f>
        <v>Nicole</v>
      </c>
      <c r="J204" s="570">
        <f>Table1[[#This Row],[Date]]</f>
        <v>41148</v>
      </c>
      <c r="K204" s="526"/>
      <c r="L204" s="526"/>
    </row>
    <row r="205" spans="1:12" ht="28.5" hidden="1">
      <c r="A205" s="569">
        <v>1</v>
      </c>
      <c r="B205" s="37">
        <v>203</v>
      </c>
      <c r="C205" s="570">
        <v>41148</v>
      </c>
      <c r="D205" s="580" t="s">
        <v>362</v>
      </c>
      <c r="E205" s="582" t="s">
        <v>385</v>
      </c>
      <c r="F205" s="499" t="s">
        <v>577</v>
      </c>
      <c r="G205" s="571" t="s">
        <v>575</v>
      </c>
      <c r="H205" s="571" t="s">
        <v>576</v>
      </c>
      <c r="I205" s="581" t="str">
        <f>Table1[[#This Row],[Staff]]</f>
        <v>Nicole</v>
      </c>
      <c r="J205" s="570">
        <f>Table1[[#This Row],[Date]]</f>
        <v>41148</v>
      </c>
      <c r="K205" s="526"/>
      <c r="L205" s="526"/>
    </row>
    <row r="206" spans="1:12" ht="28.5" hidden="1">
      <c r="A206" s="569">
        <v>1</v>
      </c>
      <c r="B206" s="37">
        <v>204</v>
      </c>
      <c r="C206" s="570">
        <v>41148</v>
      </c>
      <c r="D206" s="580" t="s">
        <v>362</v>
      </c>
      <c r="E206" s="582" t="s">
        <v>385</v>
      </c>
      <c r="F206" s="499" t="s">
        <v>578</v>
      </c>
      <c r="G206" s="571" t="s">
        <v>575</v>
      </c>
      <c r="H206" s="571" t="s">
        <v>576</v>
      </c>
      <c r="I206" s="581" t="str">
        <f>Table1[[#This Row],[Staff]]</f>
        <v>Nicole</v>
      </c>
      <c r="J206" s="570">
        <f>Table1[[#This Row],[Date]]</f>
        <v>41148</v>
      </c>
      <c r="K206" s="526"/>
      <c r="L206" s="526"/>
    </row>
    <row r="207" spans="1:12" ht="28.5" hidden="1">
      <c r="A207" s="569">
        <v>1</v>
      </c>
      <c r="B207" s="37">
        <v>205</v>
      </c>
      <c r="C207" s="570">
        <v>41148</v>
      </c>
      <c r="D207" s="580" t="s">
        <v>362</v>
      </c>
      <c r="E207" s="582" t="s">
        <v>385</v>
      </c>
      <c r="F207" s="499" t="s">
        <v>579</v>
      </c>
      <c r="G207" s="571" t="s">
        <v>575</v>
      </c>
      <c r="H207" s="571" t="s">
        <v>576</v>
      </c>
      <c r="I207" s="581" t="str">
        <f>Table1[[#This Row],[Staff]]</f>
        <v>Nicole</v>
      </c>
      <c r="J207" s="570">
        <f>Table1[[#This Row],[Date]]</f>
        <v>41148</v>
      </c>
      <c r="K207" s="526"/>
      <c r="L207" s="526"/>
    </row>
    <row r="208" spans="1:12" ht="28.5" hidden="1">
      <c r="A208" s="569">
        <v>1</v>
      </c>
      <c r="B208" s="37">
        <v>206</v>
      </c>
      <c r="C208" s="570">
        <v>41148</v>
      </c>
      <c r="D208" s="580" t="s">
        <v>362</v>
      </c>
      <c r="E208" s="582" t="s">
        <v>385</v>
      </c>
      <c r="F208" s="499" t="s">
        <v>580</v>
      </c>
      <c r="G208" s="571" t="s">
        <v>575</v>
      </c>
      <c r="H208" s="571" t="s">
        <v>576</v>
      </c>
      <c r="I208" s="581" t="str">
        <f>Table1[[#This Row],[Staff]]</f>
        <v>Nicole</v>
      </c>
      <c r="J208" s="570">
        <f>Table1[[#This Row],[Date]]</f>
        <v>41148</v>
      </c>
      <c r="K208" s="526"/>
      <c r="L208" s="526"/>
    </row>
    <row r="209" spans="1:35" ht="28.5" hidden="1">
      <c r="A209" s="569">
        <v>1</v>
      </c>
      <c r="B209" s="37">
        <v>207</v>
      </c>
      <c r="C209" s="570">
        <v>41148</v>
      </c>
      <c r="D209" s="580" t="s">
        <v>362</v>
      </c>
      <c r="E209" s="582" t="s">
        <v>385</v>
      </c>
      <c r="F209" s="499" t="s">
        <v>581</v>
      </c>
      <c r="G209" s="571" t="s">
        <v>575</v>
      </c>
      <c r="H209" s="571" t="s">
        <v>576</v>
      </c>
      <c r="I209" s="581" t="str">
        <f>Table1[[#This Row],[Staff]]</f>
        <v>Nicole</v>
      </c>
      <c r="J209" s="570">
        <f>Table1[[#This Row],[Date]]</f>
        <v>41148</v>
      </c>
      <c r="K209" s="526"/>
      <c r="L209" s="526"/>
    </row>
    <row r="210" spans="1:35" ht="28.5" hidden="1">
      <c r="A210" s="569">
        <v>1</v>
      </c>
      <c r="B210" s="37">
        <v>208</v>
      </c>
      <c r="C210" s="570">
        <v>41148</v>
      </c>
      <c r="D210" s="580" t="s">
        <v>362</v>
      </c>
      <c r="E210" s="582" t="s">
        <v>385</v>
      </c>
      <c r="F210" s="499" t="s">
        <v>582</v>
      </c>
      <c r="G210" s="571" t="s">
        <v>575</v>
      </c>
      <c r="H210" s="571" t="s">
        <v>576</v>
      </c>
      <c r="I210" s="581" t="str">
        <f>Table1[[#This Row],[Staff]]</f>
        <v>Nicole</v>
      </c>
      <c r="J210" s="570">
        <f>Table1[[#This Row],[Date]]</f>
        <v>41148</v>
      </c>
      <c r="K210" s="526"/>
      <c r="L210" s="526"/>
    </row>
    <row r="211" spans="1:35" ht="28.5" hidden="1">
      <c r="A211" s="569">
        <v>1</v>
      </c>
      <c r="B211" s="37">
        <v>209</v>
      </c>
      <c r="C211" s="570">
        <v>41148</v>
      </c>
      <c r="D211" s="580" t="s">
        <v>362</v>
      </c>
      <c r="E211" s="582" t="s">
        <v>385</v>
      </c>
      <c r="F211" s="499" t="s">
        <v>583</v>
      </c>
      <c r="G211" s="571" t="s">
        <v>575</v>
      </c>
      <c r="H211" s="571" t="s">
        <v>576</v>
      </c>
      <c r="I211" s="581" t="str">
        <f>Table1[[#This Row],[Staff]]</f>
        <v>Nicole</v>
      </c>
      <c r="J211" s="570">
        <f>Table1[[#This Row],[Date]]</f>
        <v>41148</v>
      </c>
      <c r="K211" s="526"/>
      <c r="L211" s="526"/>
    </row>
    <row r="212" spans="1:35" ht="28.5" hidden="1">
      <c r="A212" s="569">
        <v>1</v>
      </c>
      <c r="B212" s="37">
        <v>210</v>
      </c>
      <c r="C212" s="570">
        <v>41148</v>
      </c>
      <c r="D212" s="580" t="s">
        <v>362</v>
      </c>
      <c r="E212" s="582" t="s">
        <v>385</v>
      </c>
      <c r="F212" s="499" t="s">
        <v>584</v>
      </c>
      <c r="G212" s="571" t="s">
        <v>575</v>
      </c>
      <c r="H212" s="571" t="s">
        <v>576</v>
      </c>
      <c r="I212" s="581" t="str">
        <f>Table1[[#This Row],[Staff]]</f>
        <v>Nicole</v>
      </c>
      <c r="J212" s="570">
        <f>Table1[[#This Row],[Date]]</f>
        <v>41148</v>
      </c>
      <c r="K212" s="526"/>
      <c r="L212" s="526"/>
    </row>
    <row r="213" spans="1:35" ht="28.5" hidden="1">
      <c r="A213" s="569">
        <v>1</v>
      </c>
      <c r="B213" s="37">
        <v>211</v>
      </c>
      <c r="C213" s="570">
        <v>41148</v>
      </c>
      <c r="D213" s="580" t="s">
        <v>362</v>
      </c>
      <c r="E213" s="582" t="s">
        <v>385</v>
      </c>
      <c r="F213" s="499" t="s">
        <v>585</v>
      </c>
      <c r="G213" s="571" t="s">
        <v>575</v>
      </c>
      <c r="H213" s="571" t="s">
        <v>576</v>
      </c>
      <c r="I213" s="581" t="str">
        <f>Table1[[#This Row],[Staff]]</f>
        <v>Nicole</v>
      </c>
      <c r="J213" s="570">
        <f>Table1[[#This Row],[Date]]</f>
        <v>41148</v>
      </c>
      <c r="K213" s="526"/>
      <c r="L213" s="526"/>
    </row>
    <row r="214" spans="1:35" ht="42.75" hidden="1">
      <c r="A214" s="569">
        <v>1</v>
      </c>
      <c r="B214" s="37">
        <v>212</v>
      </c>
      <c r="C214" s="570">
        <v>41148</v>
      </c>
      <c r="D214" s="583" t="s">
        <v>362</v>
      </c>
      <c r="E214" s="583" t="s">
        <v>368</v>
      </c>
      <c r="F214" s="499" t="s">
        <v>586</v>
      </c>
      <c r="G214" s="571" t="s">
        <v>587</v>
      </c>
      <c r="H214" s="571" t="s">
        <v>588</v>
      </c>
      <c r="I214" s="581" t="s">
        <v>471</v>
      </c>
      <c r="J214" s="570">
        <f>Table1[[#This Row],[Date]]</f>
        <v>41148</v>
      </c>
      <c r="K214" s="526"/>
      <c r="L214" s="526"/>
    </row>
    <row r="215" spans="1:35" ht="28.5" hidden="1">
      <c r="A215" s="569">
        <v>1</v>
      </c>
      <c r="B215" s="37">
        <v>213</v>
      </c>
      <c r="C215" s="570">
        <v>41148</v>
      </c>
      <c r="D215" s="585" t="s">
        <v>471</v>
      </c>
      <c r="E215" s="585" t="s">
        <v>369</v>
      </c>
      <c r="G215" s="571" t="s">
        <v>589</v>
      </c>
      <c r="H215" s="571" t="s">
        <v>590</v>
      </c>
      <c r="I215" s="581" t="str">
        <f>IF(Table1[[#This Row],[Staff]]="","",Table1[[#This Row],[Staff]])</f>
        <v>Maggie</v>
      </c>
      <c r="J215" s="570">
        <f>Table1[[#This Row],[Date]]</f>
        <v>41148</v>
      </c>
      <c r="K215" s="526"/>
      <c r="L215" s="526"/>
    </row>
    <row r="216" spans="1:35" s="584" customFormat="1" hidden="1">
      <c r="A216" s="596">
        <v>1</v>
      </c>
      <c r="B216" s="597">
        <v>214</v>
      </c>
      <c r="C216" s="598">
        <v>41149</v>
      </c>
      <c r="D216" s="29" t="s">
        <v>362</v>
      </c>
      <c r="E216" s="29" t="s">
        <v>8</v>
      </c>
      <c r="F216" s="599" t="s">
        <v>425</v>
      </c>
      <c r="G216" s="600" t="s">
        <v>592</v>
      </c>
      <c r="H216" s="600" t="s">
        <v>594</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362</v>
      </c>
      <c r="E217" s="588" t="s">
        <v>8</v>
      </c>
      <c r="F217" s="499" t="s">
        <v>433</v>
      </c>
      <c r="G217" s="571" t="s">
        <v>592</v>
      </c>
      <c r="H217" s="571" t="s">
        <v>593</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362</v>
      </c>
      <c r="E218" s="588" t="s">
        <v>8</v>
      </c>
      <c r="F218" s="499" t="s">
        <v>426</v>
      </c>
      <c r="G218" s="571" t="s">
        <v>592</v>
      </c>
      <c r="H218" s="571" t="s">
        <v>593</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362</v>
      </c>
      <c r="E219" s="588" t="s">
        <v>8</v>
      </c>
      <c r="F219" s="499" t="s">
        <v>427</v>
      </c>
      <c r="G219" s="571" t="s">
        <v>592</v>
      </c>
      <c r="H219" s="571" t="s">
        <v>593</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362</v>
      </c>
      <c r="E220" s="588" t="s">
        <v>8</v>
      </c>
      <c r="F220" s="499" t="s">
        <v>428</v>
      </c>
      <c r="G220" s="571" t="s">
        <v>592</v>
      </c>
      <c r="H220" s="571" t="s">
        <v>593</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362</v>
      </c>
      <c r="E221" s="588" t="s">
        <v>385</v>
      </c>
      <c r="F221" s="499" t="s">
        <v>440</v>
      </c>
      <c r="G221" s="571" t="s">
        <v>592</v>
      </c>
      <c r="H221" s="571" t="s">
        <v>593</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362</v>
      </c>
      <c r="E222" s="588" t="s">
        <v>385</v>
      </c>
      <c r="F222" s="499" t="s">
        <v>441</v>
      </c>
      <c r="G222" s="571" t="s">
        <v>592</v>
      </c>
      <c r="H222" s="571" t="s">
        <v>593</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362</v>
      </c>
      <c r="E223" s="588" t="s">
        <v>385</v>
      </c>
      <c r="F223" s="499" t="s">
        <v>442</v>
      </c>
      <c r="G223" s="571" t="s">
        <v>592</v>
      </c>
      <c r="H223" s="571" t="s">
        <v>593</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362</v>
      </c>
      <c r="E224" s="588" t="s">
        <v>385</v>
      </c>
      <c r="F224" s="499" t="s">
        <v>443</v>
      </c>
      <c r="G224" s="571" t="s">
        <v>592</v>
      </c>
      <c r="H224" s="571" t="s">
        <v>593</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362</v>
      </c>
      <c r="E225" s="588" t="s">
        <v>385</v>
      </c>
      <c r="F225" s="499" t="s">
        <v>444</v>
      </c>
      <c r="G225" s="571" t="s">
        <v>592</v>
      </c>
      <c r="H225" s="571" t="s">
        <v>593</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362</v>
      </c>
      <c r="E226" s="588" t="s">
        <v>385</v>
      </c>
      <c r="F226" s="499" t="s">
        <v>445</v>
      </c>
      <c r="G226" s="571" t="s">
        <v>592</v>
      </c>
      <c r="H226" s="571" t="s">
        <v>593</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362</v>
      </c>
      <c r="E227" s="588" t="s">
        <v>385</v>
      </c>
      <c r="F227" s="499" t="s">
        <v>446</v>
      </c>
      <c r="G227" s="571" t="s">
        <v>592</v>
      </c>
      <c r="H227" s="571" t="s">
        <v>593</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362</v>
      </c>
      <c r="E228" s="588" t="s">
        <v>385</v>
      </c>
      <c r="F228" s="499" t="s">
        <v>447</v>
      </c>
      <c r="G228" s="571" t="s">
        <v>592</v>
      </c>
      <c r="H228" s="571" t="s">
        <v>593</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362</v>
      </c>
      <c r="E229" s="588" t="s">
        <v>385</v>
      </c>
      <c r="F229" s="499" t="s">
        <v>448</v>
      </c>
      <c r="G229" s="571" t="s">
        <v>592</v>
      </c>
      <c r="H229" s="571" t="s">
        <v>593</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362</v>
      </c>
      <c r="E230" s="592" t="s">
        <v>385</v>
      </c>
      <c r="F230" s="593" t="s">
        <v>449</v>
      </c>
      <c r="G230" s="594" t="s">
        <v>592</v>
      </c>
      <c r="H230" s="594" t="s">
        <v>595</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7" t="s">
        <v>9</v>
      </c>
      <c r="E2" s="627"/>
      <c r="F2" s="627"/>
      <c r="G2" s="627"/>
      <c r="H2" s="633">
        <f ca="1">TODAY()</f>
        <v>41471</v>
      </c>
      <c r="I2" s="633"/>
      <c r="J2" s="633"/>
      <c r="K2" s="633"/>
      <c r="L2" s="633"/>
      <c r="M2" s="633"/>
      <c r="N2" s="633"/>
      <c r="O2" s="633"/>
      <c r="P2" s="633"/>
      <c r="Q2" s="633"/>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9" t="str">
        <f>R.1ProjectName</f>
        <v>Diesel federal grant alignment</v>
      </c>
      <c r="E4" s="629"/>
      <c r="F4" s="629"/>
      <c r="G4" s="629"/>
      <c r="H4" s="629"/>
      <c r="I4" s="629"/>
      <c r="J4" s="629"/>
      <c r="K4" s="629"/>
      <c r="L4" s="629"/>
      <c r="M4" s="629"/>
      <c r="N4" s="629"/>
      <c r="O4" s="629"/>
      <c r="P4" s="629"/>
      <c r="Q4" s="629"/>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8" t="s">
        <v>180</v>
      </c>
      <c r="D5" s="628"/>
      <c r="E5" s="628"/>
      <c r="F5" s="628"/>
      <c r="G5" s="628"/>
      <c r="H5" s="628"/>
      <c r="I5" s="628"/>
      <c r="J5" s="628"/>
      <c r="K5" s="628"/>
      <c r="L5" s="628"/>
      <c r="M5" s="628"/>
      <c r="N5" s="628"/>
      <c r="O5" s="628"/>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1" t="s">
        <v>88</v>
      </c>
      <c r="F7" s="624"/>
      <c r="G7" s="624"/>
      <c r="H7" s="624"/>
      <c r="I7" s="624"/>
      <c r="J7" s="624"/>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32" t="s">
        <v>161</v>
      </c>
      <c r="F8" s="612"/>
      <c r="G8" s="612"/>
      <c r="H8" s="612" t="s">
        <v>79</v>
      </c>
      <c r="I8" s="612"/>
      <c r="J8" s="612"/>
      <c r="K8" s="281"/>
      <c r="L8" s="281"/>
      <c r="M8" s="212"/>
      <c r="N8" s="212"/>
      <c r="O8" s="630" t="s">
        <v>49</v>
      </c>
      <c r="P8" s="630"/>
      <c r="Q8" s="630"/>
      <c r="R8" s="630"/>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8">
        <f>R.3LowHrs</f>
        <v>0</v>
      </c>
      <c r="F9" s="619"/>
      <c r="G9" s="620"/>
      <c r="H9" s="613">
        <f>R.3HighHrs</f>
        <v>0</v>
      </c>
      <c r="I9" s="614"/>
      <c r="J9" s="615"/>
      <c r="K9" s="222"/>
      <c r="L9" s="623" t="s">
        <v>45</v>
      </c>
      <c r="M9" s="624"/>
      <c r="N9" s="624"/>
      <c r="O9" s="624"/>
      <c r="P9" s="625"/>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8">
        <f>R.4LowHrs</f>
        <v>0</v>
      </c>
      <c r="F10" s="619"/>
      <c r="G10" s="620"/>
      <c r="H10" s="613">
        <f>R.4HighHrs</f>
        <v>0</v>
      </c>
      <c r="I10" s="614"/>
      <c r="J10" s="615"/>
      <c r="K10" s="222"/>
      <c r="L10" s="623" t="s">
        <v>46</v>
      </c>
      <c r="M10" s="624"/>
      <c r="N10" s="624"/>
      <c r="O10" s="624"/>
      <c r="P10" s="625"/>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8">
        <f>R.5LowHrs</f>
        <v>0</v>
      </c>
      <c r="F11" s="619"/>
      <c r="G11" s="620"/>
      <c r="H11" s="613">
        <f>R.5HighHrs</f>
        <v>0</v>
      </c>
      <c r="I11" s="614"/>
      <c r="J11" s="615"/>
      <c r="K11" s="222"/>
      <c r="L11" s="623" t="s">
        <v>47</v>
      </c>
      <c r="M11" s="624"/>
      <c r="N11" s="624"/>
      <c r="O11" s="624"/>
      <c r="P11" s="625"/>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8">
        <f>R.6LowHrs</f>
        <v>0</v>
      </c>
      <c r="F12" s="619"/>
      <c r="G12" s="620"/>
      <c r="H12" s="613">
        <f>R.6HighHrs</f>
        <v>0</v>
      </c>
      <c r="I12" s="614"/>
      <c r="J12" s="615"/>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1">
        <f>R.7LowHrs</f>
        <v>0</v>
      </c>
      <c r="F13" s="619"/>
      <c r="G13" s="620"/>
      <c r="H13" s="613">
        <f>R.7HighHrs</f>
        <v>0</v>
      </c>
      <c r="I13" s="614"/>
      <c r="J13" s="615"/>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1">
        <f>R.8LowHrs</f>
        <v>0</v>
      </c>
      <c r="F14" s="619"/>
      <c r="G14" s="620"/>
      <c r="H14" s="613">
        <f>R.8HighHrs</f>
        <v>0</v>
      </c>
      <c r="I14" s="614"/>
      <c r="J14" s="615"/>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8">
        <f>R.9LowHrs</f>
        <v>0</v>
      </c>
      <c r="F15" s="619"/>
      <c r="G15" s="620"/>
      <c r="H15" s="613">
        <f>R.9HighHrs</f>
        <v>0</v>
      </c>
      <c r="I15" s="614"/>
      <c r="J15" s="615"/>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8">
        <f>R.10LowHrs</f>
        <v>0</v>
      </c>
      <c r="F16" s="619"/>
      <c r="G16" s="620"/>
      <c r="H16" s="613">
        <f>R.10HighHrs</f>
        <v>0</v>
      </c>
      <c r="I16" s="614"/>
      <c r="J16" s="615"/>
      <c r="K16" s="222"/>
      <c r="L16" s="626" t="s">
        <v>98</v>
      </c>
      <c r="M16" s="624"/>
      <c r="N16" s="624"/>
      <c r="O16" s="624"/>
      <c r="P16" s="625"/>
      <c r="Q16" s="289">
        <f>U16</f>
        <v>0</v>
      </c>
      <c r="R16" s="284"/>
      <c r="S16" s="334"/>
      <c r="T16" s="25"/>
      <c r="U16" s="586">
        <f>SUM(R.3StaffCount,R.4StaffCount,R.5StaffCount,R.6StaffCount,R.7StaffCount,R.8StaffCount,R.9StaffCount,R.10StaffCount,R.11StaffCount,R.12StaffCount,R.13StaffCount,R.15StaffCount)</f>
        <v>0</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8">
        <f>R.11LowHrs</f>
        <v>0</v>
      </c>
      <c r="F17" s="619"/>
      <c r="G17" s="620"/>
      <c r="H17" s="613">
        <f>R.11HighHrs</f>
        <v>0</v>
      </c>
      <c r="I17" s="614"/>
      <c r="J17" s="615"/>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8">
        <f>R.12LowHrs</f>
        <v>0</v>
      </c>
      <c r="F18" s="619"/>
      <c r="G18" s="620"/>
      <c r="H18" s="613">
        <f>R.12HighHrs</f>
        <v>0</v>
      </c>
      <c r="I18" s="614"/>
      <c r="J18" s="615"/>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8">
        <f>R.13LowHrs</f>
        <v>0</v>
      </c>
      <c r="F19" s="619"/>
      <c r="G19" s="620"/>
      <c r="H19" s="613">
        <f>R.13HighHrs</f>
        <v>0</v>
      </c>
      <c r="I19" s="614"/>
      <c r="J19" s="615"/>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8">
        <f>R.14LowHrs</f>
        <v>0</v>
      </c>
      <c r="F20" s="619"/>
      <c r="G20" s="620"/>
      <c r="H20" s="613">
        <f>R.14HighHrs</f>
        <v>0</v>
      </c>
      <c r="I20" s="614"/>
      <c r="J20" s="615"/>
      <c r="K20" s="605" t="s">
        <v>0</v>
      </c>
      <c r="L20" s="606"/>
      <c r="M20" s="606"/>
      <c r="N20" s="606"/>
      <c r="O20" s="60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8">
        <f>R.15LowHrs</f>
        <v>0</v>
      </c>
      <c r="F21" s="619"/>
      <c r="G21" s="620"/>
      <c r="H21" s="613">
        <f>R.15HighHrs</f>
        <v>0</v>
      </c>
      <c r="I21" s="614"/>
      <c r="J21" s="615"/>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188</v>
      </c>
      <c r="E22" s="618">
        <f>14*1</f>
        <v>14</v>
      </c>
      <c r="F22" s="619"/>
      <c r="G22" s="620"/>
      <c r="H22" s="613">
        <f>14*4</f>
        <v>56</v>
      </c>
      <c r="I22" s="614"/>
      <c r="J22" s="615"/>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16">
        <f>SUM(E9:E22)</f>
        <v>14</v>
      </c>
      <c r="F23" s="616"/>
      <c r="G23" s="616"/>
      <c r="H23" s="616">
        <f>SUM(H9:H22)</f>
        <v>56</v>
      </c>
      <c r="I23" s="616"/>
      <c r="J23" s="61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07">
        <f>-R.14LowHrs</f>
        <v>0</v>
      </c>
      <c r="F24" s="608"/>
      <c r="G24" s="608"/>
      <c r="H24" s="607">
        <f>-R.14HighHrs</f>
        <v>0</v>
      </c>
      <c r="I24" s="608"/>
      <c r="J24" s="60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09">
        <f>SUM(E23:E24)</f>
        <v>14</v>
      </c>
      <c r="F25" s="609"/>
      <c r="G25" s="609"/>
      <c r="H25" s="610">
        <f>SUM(H23:H24)</f>
        <v>56</v>
      </c>
      <c r="I25" s="610"/>
      <c r="J25" s="61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2" t="s">
        <v>92</v>
      </c>
      <c r="D26" s="622"/>
      <c r="E26" s="617" t="str">
        <f>"X    $"&amp;R.AvgHrDEQCost</f>
        <v>X    $58</v>
      </c>
      <c r="F26" s="617"/>
      <c r="G26" s="617"/>
      <c r="H26" s="617" t="str">
        <f>"X    $"&amp;R.AvgHrDEQCost</f>
        <v>X    $58</v>
      </c>
      <c r="I26" s="617"/>
      <c r="J26" s="617"/>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1">
        <f>E25*R.AvgHrDEQCost</f>
        <v>812</v>
      </c>
      <c r="F27" s="611"/>
      <c r="G27" s="611"/>
      <c r="H27" s="611">
        <f>H25*R.AvgHrDEQCost</f>
        <v>3248</v>
      </c>
      <c r="I27" s="611"/>
      <c r="J27" s="61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H6" sqref="H6"/>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9" t="s">
        <v>41</v>
      </c>
      <c r="E2" s="659"/>
      <c r="F2" s="659"/>
      <c r="G2" s="644" t="str">
        <f>R.1MediaAndLongName</f>
        <v>AQ Diesel federal grant align</v>
      </c>
      <c r="H2" s="644"/>
      <c r="I2" s="644"/>
      <c r="J2" s="644"/>
      <c r="K2" s="644"/>
      <c r="L2" s="644"/>
      <c r="M2" s="644"/>
      <c r="N2" s="644"/>
      <c r="O2" s="644"/>
      <c r="P2" s="644"/>
      <c r="Q2" s="644"/>
      <c r="R2" s="644"/>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8" t="s">
        <v>85</v>
      </c>
      <c r="E4" s="658"/>
      <c r="F4" s="658"/>
      <c r="G4" s="660" t="s">
        <v>600</v>
      </c>
      <c r="H4" s="661"/>
      <c r="I4" s="661"/>
      <c r="J4" s="661"/>
      <c r="K4" s="661"/>
      <c r="L4" s="661"/>
      <c r="M4" s="661"/>
      <c r="N4" s="661"/>
      <c r="O4" s="661"/>
      <c r="P4" s="661"/>
      <c r="Q4" s="661"/>
      <c r="R4" s="662"/>
      <c r="S4" s="314"/>
      <c r="T4" s="334"/>
      <c r="U4" s="27"/>
      <c r="V4" s="198" t="str">
        <f>P6&amp;" "&amp;H5</f>
        <v>AQ Diesel federal grant align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3" t="s">
        <v>164</v>
      </c>
      <c r="E5" s="663"/>
      <c r="F5" s="664"/>
      <c r="G5" s="402" t="s">
        <v>601</v>
      </c>
      <c r="H5" s="651" t="s">
        <v>602</v>
      </c>
      <c r="I5" s="652"/>
      <c r="J5" s="652"/>
      <c r="K5" s="652"/>
      <c r="L5" s="652"/>
      <c r="M5" s="652"/>
      <c r="N5" s="652"/>
      <c r="O5" s="652"/>
      <c r="P5" s="652"/>
      <c r="Q5" s="652"/>
      <c r="R5" s="65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54" t="s">
        <v>165</v>
      </c>
      <c r="J6" s="654"/>
      <c r="K6" s="654"/>
      <c r="L6" s="654"/>
      <c r="M6" s="654"/>
      <c r="N6" s="654"/>
      <c r="O6" s="655"/>
      <c r="P6" s="656" t="s">
        <v>598</v>
      </c>
      <c r="Q6" s="657"/>
      <c r="R6" s="395"/>
      <c r="S6" s="314"/>
      <c r="T6" s="334"/>
      <c r="U6" s="27"/>
      <c r="V6" t="str">
        <f>P6</f>
        <v>AQ</v>
      </c>
      <c r="W6" s="26"/>
      <c r="X6" s="26"/>
      <c r="Y6" s="575" t="s">
        <v>554</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5" t="str">
        <f>P.1PlanYear&amp; " Rules "&amp;$P$6&amp;" "&amp;$H$5</f>
        <v>2013 Rules AQ Diesel federal grant align</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5" t="str">
        <f>P.1PlanYear&amp; " Rules "&amp;$P$6&amp;" "&amp;$G$5</f>
        <v>2013 Rules AQ DESLGRNT</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5" t="str">
        <f>P.1PlanYear&amp; " Rules "&amp;$P$6&amp;" "&amp;$G$5</f>
        <v>2013 Rules AQ DESLGRNT</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5" t="str">
        <f>P.1PlanYear&amp; " Rules "&amp;$P$6&amp;" "&amp;$G$5</f>
        <v>2013 Rules AQ DESLGRNT</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4" t="str">
        <f>"RM-"&amp;G5</f>
        <v>RM-DESLGRNT</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34" t="str">
        <f>"RM-"&amp;G5&amp;" "&amp;P.1PlanYear</f>
        <v>RM-DESLGRNT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4" t="str">
        <f>G5</f>
        <v>DESLGRNT</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37" t="str">
        <f>"\\deqhq1\Rule_Development\2013 Plan"&amp;"\"&amp;G5</f>
        <v>\\deqhq1\Rule_Development\2013 Plan\DESLGRNT</v>
      </c>
      <c r="H15" s="638"/>
      <c r="I15" s="638"/>
      <c r="J15" s="638"/>
      <c r="K15" s="638"/>
      <c r="L15" s="638"/>
      <c r="M15" s="638"/>
      <c r="N15" s="638"/>
      <c r="O15" s="638"/>
      <c r="P15" s="638"/>
      <c r="Q15" s="638"/>
      <c r="R15" s="63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45" t="s">
        <v>40</v>
      </c>
      <c r="H16" s="646"/>
      <c r="I16" s="646"/>
      <c r="J16" s="646"/>
      <c r="K16" s="646"/>
      <c r="L16" s="646"/>
      <c r="M16" s="646"/>
      <c r="N16" s="646"/>
      <c r="O16" s="646"/>
      <c r="P16" s="646"/>
      <c r="Q16" s="646"/>
      <c r="R16" s="64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8" t="s">
        <v>166</v>
      </c>
      <c r="H17" s="649"/>
      <c r="I17" s="649"/>
      <c r="J17" s="649"/>
      <c r="K17" s="649"/>
      <c r="L17" s="649"/>
      <c r="M17" s="649"/>
      <c r="N17" s="649"/>
      <c r="O17" s="649"/>
      <c r="P17" s="649"/>
      <c r="Q17" s="649"/>
      <c r="R17" s="65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34" t="str">
        <f>G13&amp;" Design Team"</f>
        <v>RM-DESLGRNT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5" t="str">
        <f>P.1PlanYear&amp; " Rules "&amp;$P$6&amp;" "&amp;$G$5</f>
        <v>2013 Rules AQ DESLGRNT</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34" t="str">
        <f>"AdvisoryCommittee_"&amp;P6&amp;"_"&amp;P.1PlanYear&amp;"_"&amp;G5</f>
        <v>AdvisoryCommittee_AQ_2013_DESLGRNT</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37" t="str">
        <f>"Comment-"&amp;SUBSTITUTE(H5," ","")&amp;"@deq.state.or.us"</f>
        <v>Comment-Dieselfederalgrantalign@deq.state.or.us</v>
      </c>
      <c r="H21" s="638"/>
      <c r="I21" s="638"/>
      <c r="J21" s="638"/>
      <c r="K21" s="638"/>
      <c r="L21" s="638"/>
      <c r="M21" s="638"/>
      <c r="N21" s="638"/>
      <c r="O21" s="638"/>
      <c r="P21" s="638"/>
      <c r="Q21" s="638"/>
      <c r="R21" s="63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3" t="str">
        <f>"Please suggest process improvements to the "&amp;D2&amp;" worksheet."</f>
        <v>Please suggest process improvements to the Project record worksheet.</v>
      </c>
      <c r="E22" s="643"/>
      <c r="F22" s="643"/>
      <c r="G22" s="643"/>
      <c r="H22" s="643"/>
      <c r="I22" s="643"/>
      <c r="J22" s="643"/>
      <c r="K22" s="643"/>
      <c r="L22" s="643"/>
      <c r="M22" s="64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0" t="s">
        <v>0</v>
      </c>
      <c r="E23" s="641"/>
      <c r="F23" s="641"/>
      <c r="G23" s="641"/>
      <c r="H23" s="641"/>
      <c r="I23" s="641"/>
      <c r="J23" s="641"/>
      <c r="K23" s="641"/>
      <c r="L23" s="641"/>
      <c r="M23" s="641"/>
      <c r="N23" s="641"/>
      <c r="O23" s="641"/>
      <c r="P23" s="641"/>
      <c r="Q23" s="641"/>
      <c r="R23" s="64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2"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5" t="str">
        <f>R.1MediaAndLongName</f>
        <v>AQ Diesel federal grant align</v>
      </c>
      <c r="G2" s="675"/>
      <c r="H2" s="67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8" t="s">
        <v>29</v>
      </c>
      <c r="E6" s="669"/>
      <c r="F6" s="670"/>
      <c r="G6" s="670"/>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7"/>
      <c r="E8" s="678"/>
      <c r="F8" s="678"/>
      <c r="G8" s="678"/>
      <c r="H8" s="67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6" t="s">
        <v>29</v>
      </c>
      <c r="E11" s="669"/>
      <c r="F11" s="670"/>
      <c r="G11" s="670"/>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7"/>
      <c r="E13" s="678"/>
      <c r="F13" s="678"/>
      <c r="G13" s="678"/>
      <c r="H13" s="67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6" t="s">
        <v>29</v>
      </c>
      <c r="E16" s="669"/>
      <c r="F16" s="670"/>
      <c r="G16" s="670"/>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2"/>
      <c r="E18" s="673"/>
      <c r="F18" s="673"/>
      <c r="G18" s="673"/>
      <c r="H18" s="67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1" t="str">
        <f>"Please suggest process improvements to the "&amp;D2&amp;" worksheet."</f>
        <v>Please suggest process improvements to the DEQ resource risks worksheet.</v>
      </c>
      <c r="E19" s="671"/>
      <c r="F19" s="671"/>
      <c r="G19" s="671"/>
      <c r="H19" s="67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5"/>
      <c r="E20" s="666"/>
      <c r="F20" s="666"/>
      <c r="G20" s="666"/>
      <c r="H20" s="66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7" t="str">
        <f>R.1MediaAndLongName</f>
        <v>AQ Diesel federal grant align</v>
      </c>
      <c r="F2" s="697"/>
      <c r="G2" s="697"/>
      <c r="H2" s="697"/>
      <c r="I2" s="697"/>
      <c r="J2" s="697"/>
      <c r="K2" s="697"/>
      <c r="L2" s="697"/>
      <c r="M2" s="697"/>
      <c r="N2" s="697"/>
      <c r="O2" s="697"/>
      <c r="P2" s="69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8" t="s">
        <v>57</v>
      </c>
      <c r="N3" s="698"/>
      <c r="O3" s="698"/>
      <c r="P3" s="698"/>
      <c r="Q3" s="156"/>
      <c r="R3" s="334"/>
      <c r="S3" s="354">
        <f>COUNTIFS(S13:S49,"&gt;0")</f>
        <v>0</v>
      </c>
      <c r="T3" s="355">
        <f>SUM(T13:T49)</f>
        <v>0</v>
      </c>
      <c r="U3" s="355">
        <f>SUM(U13:U49)</f>
        <v>0</v>
      </c>
      <c r="V3" s="120"/>
      <c r="W3" s="64"/>
      <c r="X3" s="64"/>
      <c r="Y3" s="64"/>
      <c r="Z3" s="64"/>
      <c r="AA3" s="64"/>
      <c r="AB3" s="64"/>
      <c r="AC3" s="64"/>
      <c r="AD3" s="66"/>
      <c r="AE3" s="66"/>
      <c r="AF3" s="66"/>
      <c r="AG3" s="66"/>
    </row>
    <row r="4" spans="1:33" s="6" customFormat="1">
      <c r="A4" s="344"/>
      <c r="B4" s="334"/>
      <c r="C4" s="155"/>
      <c r="D4" s="494" t="s">
        <v>55</v>
      </c>
      <c r="E4" s="81">
        <f>S3</f>
        <v>0</v>
      </c>
      <c r="F4" s="699" t="s">
        <v>54</v>
      </c>
      <c r="G4" s="699"/>
      <c r="H4" s="699"/>
      <c r="I4" s="699"/>
      <c r="J4" s="699"/>
      <c r="K4" s="699"/>
      <c r="L4" s="699"/>
      <c r="M4" s="700" t="str">
        <f>S4</f>
        <v>0</v>
      </c>
      <c r="N4" s="700"/>
      <c r="O4" s="700"/>
      <c r="P4" s="700"/>
      <c r="Q4" s="156"/>
      <c r="R4" s="334"/>
      <c r="S4" s="122" t="str">
        <f>IF(R.3StaffCount=0,"0",IF(R.3LowHrs=0,"0-"&amp;TEXT(R.3HighHrs,"#,###"),TEXT(R.3LowHrs,"#,###")&amp;"-"&amp;TEXT(R.3HighHrs,"#,###")))</f>
        <v>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99" t="s">
        <v>58</v>
      </c>
      <c r="G5" s="699"/>
      <c r="H5" s="699"/>
      <c r="I5" s="699"/>
      <c r="J5" s="699"/>
      <c r="K5" s="699"/>
      <c r="L5" s="699"/>
      <c r="M5" s="701" t="str">
        <f>S5</f>
        <v>$0</v>
      </c>
      <c r="N5" s="701"/>
      <c r="O5" s="701"/>
      <c r="P5" s="701"/>
      <c r="Q5" s="156"/>
      <c r="R5" s="334"/>
      <c r="S5" s="123" t="str">
        <f>IF(R.3StaffCount=0,"$0",IF(R.3LowDollars=0,"$0-"&amp;TEXT(R.3HighDollars,"#,###"),TEXT(R.3LowDollars,"$#,###")&amp;"-"&amp;TEXT(R.3HighDollars,"#,###")))</f>
        <v>$0</v>
      </c>
      <c r="T5" s="124">
        <f>T3*E5</f>
        <v>0</v>
      </c>
      <c r="U5" s="124">
        <f>U3*E5</f>
        <v>0</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t="e">
        <f>SUM(S13:S49)/R.3StaffCount</f>
        <v>#DIV/0!</v>
      </c>
      <c r="T6" s="66"/>
      <c r="U6" s="66"/>
      <c r="V6" s="120"/>
      <c r="W6" s="64"/>
      <c r="X6" s="64"/>
      <c r="Y6" s="64"/>
      <c r="Z6" s="64"/>
      <c r="AA6" s="64"/>
      <c r="AB6" s="64"/>
      <c r="AC6" s="64"/>
      <c r="AD6" s="66"/>
      <c r="AE6" s="66"/>
      <c r="AF6" s="66"/>
      <c r="AG6" s="66"/>
    </row>
    <row r="7" spans="1:33" s="69" customFormat="1" ht="15.75" customHeight="1">
      <c r="A7" s="344"/>
      <c r="B7" s="334"/>
      <c r="C7" s="157"/>
      <c r="D7" s="693"/>
      <c r="E7" s="694"/>
      <c r="F7" s="694"/>
      <c r="G7" s="694"/>
      <c r="H7" s="694"/>
      <c r="I7" s="694"/>
      <c r="J7" s="694"/>
      <c r="K7" s="694"/>
      <c r="L7" s="694"/>
      <c r="M7" s="694"/>
      <c r="N7" s="694"/>
      <c r="O7" s="694"/>
      <c r="P7" s="69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2" t="s">
        <v>99</v>
      </c>
      <c r="E11" s="703"/>
      <c r="F11" s="703"/>
      <c r="G11" s="703"/>
      <c r="H11" s="703"/>
      <c r="I11" s="703"/>
      <c r="J11" s="703"/>
      <c r="K11" s="703"/>
      <c r="L11" s="703"/>
      <c r="M11" s="703"/>
      <c r="N11" s="703"/>
      <c r="O11" s="703"/>
      <c r="P11" s="70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96" t="s">
        <v>18</v>
      </c>
      <c r="G12" s="696"/>
      <c r="H12" s="696"/>
      <c r="I12" s="696"/>
      <c r="J12" s="696"/>
      <c r="K12" s="696"/>
      <c r="L12" s="696"/>
      <c r="M12" s="696"/>
      <c r="N12" s="696"/>
      <c r="O12" s="69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2" t="s">
        <v>222</v>
      </c>
      <c r="E13" s="30" t="s">
        <v>233</v>
      </c>
      <c r="F13" s="71">
        <v>1</v>
      </c>
      <c r="G13" s="72">
        <v>2</v>
      </c>
      <c r="H13" s="73">
        <v>3</v>
      </c>
      <c r="I13" s="74">
        <v>4</v>
      </c>
      <c r="J13" s="75">
        <v>5</v>
      </c>
      <c r="K13" s="76">
        <v>6</v>
      </c>
      <c r="L13" s="77">
        <v>7</v>
      </c>
      <c r="M13" s="78">
        <v>8</v>
      </c>
      <c r="N13" s="79">
        <v>9</v>
      </c>
      <c r="O13" s="80">
        <v>10</v>
      </c>
      <c r="P13" s="53"/>
      <c r="Q13" s="139"/>
      <c r="R13" s="334"/>
      <c r="S13" s="133">
        <f>VLOOKUP($E13,R.VL_DEQResourcesInvolved,2,FALSE)</f>
        <v>0</v>
      </c>
      <c r="T13" s="121">
        <f>VLOOKUP($E13,R.VL_DEQResourcesInvolved,3,FALSE)</f>
        <v>0</v>
      </c>
      <c r="U13" s="121">
        <f>IF(S13=10,T13,VLOOKUP($E13,R.VL_DEQResourcesInvolved,4,FALSE))</f>
        <v>0</v>
      </c>
      <c r="V13" s="575" t="s">
        <v>591</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217</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0" t="s">
        <v>172</v>
      </c>
      <c r="E17" s="681"/>
      <c r="F17" s="681"/>
      <c r="G17" s="681"/>
      <c r="H17" s="681"/>
      <c r="I17" s="681"/>
      <c r="J17" s="681"/>
      <c r="K17" s="681"/>
      <c r="L17" s="681"/>
      <c r="M17" s="681"/>
      <c r="N17" s="681"/>
      <c r="O17" s="681"/>
      <c r="P17" s="682"/>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2" t="s">
        <v>223</v>
      </c>
      <c r="E19" s="30" t="s">
        <v>233</v>
      </c>
      <c r="F19" s="71">
        <v>1</v>
      </c>
      <c r="G19" s="72">
        <v>2</v>
      </c>
      <c r="H19" s="73">
        <v>3</v>
      </c>
      <c r="I19" s="74">
        <v>4</v>
      </c>
      <c r="J19" s="75">
        <v>5</v>
      </c>
      <c r="K19" s="76">
        <v>6</v>
      </c>
      <c r="L19" s="77">
        <v>7</v>
      </c>
      <c r="M19" s="78">
        <v>8</v>
      </c>
      <c r="N19" s="79">
        <v>9</v>
      </c>
      <c r="O19" s="80">
        <v>10</v>
      </c>
      <c r="P19" s="23"/>
      <c r="Q19" s="139"/>
      <c r="R19" s="334"/>
      <c r="S19" s="133">
        <f>VLOOKUP($E19,R.VL_DEQResourcesInvolved,2,FALSE)</f>
        <v>0</v>
      </c>
      <c r="T19" s="121">
        <f>VLOOKUP($E19,R.VL_DEQResourcesInvolved,3,FALSE)</f>
        <v>0</v>
      </c>
      <c r="U19" s="121">
        <f>IF(S19=10,T19,VLOOKUP($E19,R.VL_DEQResourcesInvolved,4,FALSE))</f>
        <v>0</v>
      </c>
      <c r="V19" s="575" t="s">
        <v>591</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218</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0" t="s">
        <v>65</v>
      </c>
      <c r="E23" s="681"/>
      <c r="F23" s="681"/>
      <c r="G23" s="681"/>
      <c r="H23" s="681"/>
      <c r="I23" s="681"/>
      <c r="J23" s="681"/>
      <c r="K23" s="681"/>
      <c r="L23" s="681"/>
      <c r="M23" s="681"/>
      <c r="N23" s="681"/>
      <c r="O23" s="681"/>
      <c r="P23" s="682"/>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224</v>
      </c>
      <c r="E25" s="30" t="s">
        <v>233</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591</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219</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0" t="s">
        <v>100</v>
      </c>
      <c r="E29" s="681"/>
      <c r="F29" s="681"/>
      <c r="G29" s="681"/>
      <c r="H29" s="681"/>
      <c r="I29" s="681"/>
      <c r="J29" s="681"/>
      <c r="K29" s="681"/>
      <c r="L29" s="681"/>
      <c r="M29" s="681"/>
      <c r="N29" s="681"/>
      <c r="O29" s="681"/>
      <c r="P29" s="682"/>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225</v>
      </c>
      <c r="E31" s="30" t="s">
        <v>233</v>
      </c>
      <c r="F31" s="71">
        <v>1</v>
      </c>
      <c r="G31" s="72">
        <v>2</v>
      </c>
      <c r="H31" s="73">
        <v>3</v>
      </c>
      <c r="I31" s="74">
        <v>4</v>
      </c>
      <c r="J31" s="75">
        <v>5</v>
      </c>
      <c r="K31" s="76">
        <v>6</v>
      </c>
      <c r="L31" s="77">
        <v>7</v>
      </c>
      <c r="M31" s="78">
        <v>8</v>
      </c>
      <c r="N31" s="79">
        <v>9</v>
      </c>
      <c r="O31" s="80">
        <v>10</v>
      </c>
      <c r="P31" s="23"/>
      <c r="Q31" s="139"/>
      <c r="R31" s="334"/>
      <c r="S31" s="133">
        <f>VLOOKUP($E31,R.VL_DEQResourcesInvolved,2,FALSE)</f>
        <v>0</v>
      </c>
      <c r="T31" s="121">
        <f>VLOOKUP($E31,R.VL_DEQResourcesInvolved,3,FALSE)</f>
        <v>0</v>
      </c>
      <c r="U31" s="121">
        <f>IF(S31=10,T31,VLOOKUP($E31,R.VL_DEQResourcesInvolved,4,FALSE))</f>
        <v>0</v>
      </c>
      <c r="V31" s="575" t="s">
        <v>591</v>
      </c>
      <c r="W31" s="64"/>
      <c r="X31" s="64"/>
      <c r="Y31" s="64"/>
      <c r="Z31" s="64"/>
      <c r="AA31" s="64"/>
      <c r="AB31" s="64"/>
      <c r="AC31" s="64"/>
      <c r="AD31" s="130"/>
      <c r="AE31" s="130"/>
      <c r="AF31" s="130"/>
      <c r="AG31" s="130"/>
    </row>
    <row r="32" spans="1:33" s="28" customFormat="1" ht="14.25" customHeight="1">
      <c r="A32" s="344"/>
      <c r="B32" s="334"/>
      <c r="C32" s="138"/>
      <c r="D32" s="296"/>
      <c r="E32" s="686"/>
      <c r="F32" s="686"/>
      <c r="G32" s="686"/>
      <c r="H32" s="686"/>
      <c r="I32" s="686"/>
      <c r="J32" s="686"/>
      <c r="K32" s="686"/>
      <c r="L32" s="686"/>
      <c r="M32" s="686"/>
      <c r="N32" s="686"/>
      <c r="O32" s="686"/>
      <c r="P32" s="686"/>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220</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3" t="s">
        <v>101</v>
      </c>
      <c r="E35" s="684"/>
      <c r="F35" s="684"/>
      <c r="G35" s="684"/>
      <c r="H35" s="684"/>
      <c r="I35" s="684"/>
      <c r="J35" s="684"/>
      <c r="K35" s="684"/>
      <c r="L35" s="684"/>
      <c r="M35" s="684"/>
      <c r="N35" s="684"/>
      <c r="O35" s="684"/>
      <c r="P35" s="685"/>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226</v>
      </c>
      <c r="E37" s="30" t="s">
        <v>233</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591</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208</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7" t="s">
        <v>0</v>
      </c>
      <c r="E41" s="688"/>
      <c r="F41" s="688"/>
      <c r="G41" s="688"/>
      <c r="H41" s="688"/>
      <c r="I41" s="688"/>
      <c r="J41" s="688"/>
      <c r="K41" s="688"/>
      <c r="L41" s="688"/>
      <c r="M41" s="688"/>
      <c r="N41" s="688"/>
      <c r="O41" s="688"/>
      <c r="P41" s="689"/>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227</v>
      </c>
      <c r="E43" s="30" t="s">
        <v>233</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591</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209</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0"/>
      <c r="E47" s="691"/>
      <c r="F47" s="691"/>
      <c r="G47" s="691"/>
      <c r="H47" s="691"/>
      <c r="I47" s="691"/>
      <c r="J47" s="691"/>
      <c r="K47" s="691"/>
      <c r="L47" s="691"/>
      <c r="M47" s="691"/>
      <c r="N47" s="691"/>
      <c r="O47" s="691"/>
      <c r="P47" s="692"/>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228</v>
      </c>
      <c r="E49" s="30" t="s">
        <v>233</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591</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3" t="str">
        <f>"Please suggest process improvements to the "&amp;D2&amp;" worksheet."</f>
        <v>Please suggest process improvements to the Core Team worksheet.</v>
      </c>
      <c r="E51" s="64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0"/>
      <c r="E52" s="641"/>
      <c r="F52" s="641"/>
      <c r="G52" s="641"/>
      <c r="H52" s="641"/>
      <c r="I52" s="641"/>
      <c r="J52" s="641"/>
      <c r="K52" s="641"/>
      <c r="L52" s="641"/>
      <c r="M52" s="641"/>
      <c r="N52" s="641"/>
      <c r="O52" s="641"/>
      <c r="P52" s="642"/>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6" sqref="D26"/>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2" t="str">
        <f>R.1MediaAndLongName</f>
        <v>AQ Diesel federal grant align</v>
      </c>
      <c r="F2" s="712"/>
      <c r="G2" s="712"/>
      <c r="H2" s="712"/>
      <c r="I2" s="712"/>
      <c r="J2" s="712"/>
      <c r="K2" s="712"/>
      <c r="L2" s="712"/>
      <c r="M2" s="712"/>
      <c r="N2" s="712"/>
      <c r="O2" s="712"/>
      <c r="P2" s="71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8" t="s">
        <v>57</v>
      </c>
      <c r="N3" s="698"/>
      <c r="O3" s="698"/>
      <c r="P3" s="698"/>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55</v>
      </c>
      <c r="E4" s="81">
        <f>S3</f>
        <v>0</v>
      </c>
      <c r="F4" s="699" t="s">
        <v>54</v>
      </c>
      <c r="G4" s="699"/>
      <c r="H4" s="699"/>
      <c r="I4" s="699"/>
      <c r="J4" s="699"/>
      <c r="K4" s="699"/>
      <c r="L4" s="699"/>
      <c r="M4" s="700" t="str">
        <f>S4</f>
        <v>0</v>
      </c>
      <c r="N4" s="700"/>
      <c r="O4" s="700"/>
      <c r="P4" s="700"/>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99" t="s">
        <v>58</v>
      </c>
      <c r="G5" s="699"/>
      <c r="H5" s="699"/>
      <c r="I5" s="699"/>
      <c r="J5" s="699"/>
      <c r="K5" s="699"/>
      <c r="L5" s="699"/>
      <c r="M5" s="701" t="str">
        <f>S5</f>
        <v>$0</v>
      </c>
      <c r="N5" s="701"/>
      <c r="O5" s="701"/>
      <c r="P5" s="701"/>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210</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5" t="s">
        <v>69</v>
      </c>
      <c r="E11" s="706"/>
      <c r="F11" s="706"/>
      <c r="G11" s="706"/>
      <c r="H11" s="706"/>
      <c r="I11" s="706"/>
      <c r="J11" s="706"/>
      <c r="K11" s="706"/>
      <c r="L11" s="706"/>
      <c r="M11" s="706"/>
      <c r="N11" s="706"/>
      <c r="O11" s="706"/>
      <c r="P11" s="707"/>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229</v>
      </c>
      <c r="E13" s="415" t="s">
        <v>233</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5" t="s">
        <v>591</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8" t="s">
        <v>181</v>
      </c>
      <c r="E17" s="709"/>
      <c r="F17" s="709"/>
      <c r="G17" s="709"/>
      <c r="H17" s="709"/>
      <c r="I17" s="709"/>
      <c r="J17" s="709"/>
      <c r="K17" s="709"/>
      <c r="L17" s="709"/>
      <c r="M17" s="709"/>
      <c r="N17" s="709"/>
      <c r="O17" s="709"/>
      <c r="P17" s="710"/>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233</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5" t="s">
        <v>591</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5" t="s">
        <v>199</v>
      </c>
      <c r="E23" s="706"/>
      <c r="F23" s="706"/>
      <c r="G23" s="706"/>
      <c r="H23" s="706"/>
      <c r="I23" s="706"/>
      <c r="J23" s="706"/>
      <c r="K23" s="706"/>
      <c r="L23" s="706"/>
      <c r="M23" s="706"/>
      <c r="N23" s="706"/>
      <c r="O23" s="706"/>
      <c r="P23" s="707"/>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599</v>
      </c>
      <c r="E25" s="415" t="s">
        <v>233</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591</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208</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5" t="s">
        <v>0</v>
      </c>
      <c r="E29" s="706"/>
      <c r="F29" s="706"/>
      <c r="G29" s="706"/>
      <c r="H29" s="706"/>
      <c r="I29" s="706"/>
      <c r="J29" s="706"/>
      <c r="K29" s="706"/>
      <c r="L29" s="706"/>
      <c r="M29" s="706"/>
      <c r="N29" s="706"/>
      <c r="O29" s="706"/>
      <c r="P29" s="707"/>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227</v>
      </c>
      <c r="E31" s="415" t="s">
        <v>233</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591</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209</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5" t="s">
        <v>0</v>
      </c>
      <c r="E35" s="706"/>
      <c r="F35" s="706"/>
      <c r="G35" s="706"/>
      <c r="H35" s="706"/>
      <c r="I35" s="706"/>
      <c r="J35" s="706"/>
      <c r="K35" s="706"/>
      <c r="L35" s="706"/>
      <c r="M35" s="706"/>
      <c r="N35" s="706"/>
      <c r="O35" s="706"/>
      <c r="P35" s="707"/>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434</v>
      </c>
      <c r="E37" s="415" t="s">
        <v>233</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591</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3" t="str">
        <f>"Please suggest process improvements to the "&amp;D2&amp;" worksheet."</f>
        <v>Please suggest process improvements to the Advisors worksheet.</v>
      </c>
      <c r="E39" s="64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0"/>
      <c r="E40" s="641"/>
      <c r="F40" s="641"/>
      <c r="G40" s="641"/>
      <c r="H40" s="641"/>
      <c r="I40" s="641"/>
      <c r="J40" s="641"/>
      <c r="K40" s="641"/>
      <c r="L40" s="641"/>
      <c r="M40" s="641"/>
      <c r="N40" s="641"/>
      <c r="O40" s="641"/>
      <c r="P40" s="642"/>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244</v>
      </c>
      <c r="E2" s="712" t="str">
        <f>R.1MediaAndLongName</f>
        <v>AQ Diesel federal grant align</v>
      </c>
      <c r="F2" s="712"/>
      <c r="G2" s="712"/>
      <c r="H2" s="712"/>
      <c r="I2" s="712"/>
      <c r="J2" s="712"/>
      <c r="K2" s="712"/>
      <c r="L2" s="712"/>
      <c r="M2" s="712"/>
      <c r="N2" s="712"/>
      <c r="O2" s="712"/>
      <c r="P2" s="71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8" t="s">
        <v>57</v>
      </c>
      <c r="N3" s="698"/>
      <c r="O3" s="698"/>
      <c r="P3" s="698"/>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699" t="s">
        <v>54</v>
      </c>
      <c r="G4" s="699"/>
      <c r="H4" s="699"/>
      <c r="I4" s="699"/>
      <c r="J4" s="699"/>
      <c r="K4" s="699"/>
      <c r="L4" s="699"/>
      <c r="M4" s="700" t="str">
        <f>S4</f>
        <v>0</v>
      </c>
      <c r="N4" s="700"/>
      <c r="O4" s="700"/>
      <c r="P4" s="700"/>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99" t="s">
        <v>58</v>
      </c>
      <c r="G5" s="699"/>
      <c r="H5" s="699"/>
      <c r="I5" s="699"/>
      <c r="J5" s="699"/>
      <c r="K5" s="699"/>
      <c r="L5" s="699"/>
      <c r="M5" s="701" t="str">
        <f>S5</f>
        <v>$0</v>
      </c>
      <c r="N5" s="701"/>
      <c r="O5" s="701"/>
      <c r="P5" s="701"/>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184</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3"/>
      <c r="E11" s="714"/>
      <c r="F11" s="714"/>
      <c r="G11" s="714"/>
      <c r="H11" s="714"/>
      <c r="I11" s="714"/>
      <c r="J11" s="714"/>
      <c r="K11" s="714"/>
      <c r="L11" s="714"/>
      <c r="M11" s="714"/>
      <c r="N11" s="714"/>
      <c r="O11" s="714"/>
      <c r="P11" s="71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187</v>
      </c>
      <c r="E13" s="30" t="s">
        <v>233</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591</v>
      </c>
      <c r="Y13" s="64"/>
      <c r="Z13" s="64"/>
      <c r="AA13" s="64"/>
      <c r="AB13" s="64"/>
      <c r="AC13" s="64"/>
      <c r="AD13" s="64"/>
      <c r="AE13" s="64"/>
      <c r="AF13" s="130"/>
      <c r="AG13" s="130"/>
      <c r="AH13" s="130"/>
      <c r="AI13" s="130"/>
    </row>
    <row r="14" spans="1:35" s="28" customFormat="1" ht="15.75" customHeight="1">
      <c r="A14" s="345"/>
      <c r="B14" s="334"/>
      <c r="C14" s="138"/>
      <c r="D14" s="524" t="s">
        <v>193</v>
      </c>
      <c r="E14" s="30" t="s">
        <v>233</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591</v>
      </c>
      <c r="Y14" s="436"/>
      <c r="Z14" s="436"/>
      <c r="AA14" s="436"/>
      <c r="AB14" s="436"/>
      <c r="AC14" s="436"/>
      <c r="AD14" s="436"/>
      <c r="AE14" s="436"/>
      <c r="AF14" s="130"/>
      <c r="AG14" s="130"/>
      <c r="AH14" s="130"/>
      <c r="AI14" s="130"/>
    </row>
    <row r="15" spans="1:35" s="28" customFormat="1" ht="15.75" customHeight="1" outlineLevel="1">
      <c r="A15" s="345"/>
      <c r="B15" s="334"/>
      <c r="C15" s="138"/>
      <c r="D15" s="524" t="s">
        <v>189</v>
      </c>
      <c r="E15" s="30" t="s">
        <v>233</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591</v>
      </c>
      <c r="Y15" s="436"/>
      <c r="Z15" s="436"/>
      <c r="AA15" s="436"/>
      <c r="AB15" s="436"/>
      <c r="AC15" s="436"/>
      <c r="AD15" s="436"/>
      <c r="AE15" s="436"/>
      <c r="AF15" s="130"/>
      <c r="AG15" s="130"/>
      <c r="AH15" s="130"/>
      <c r="AI15" s="130"/>
    </row>
    <row r="16" spans="1:35" s="28" customFormat="1" ht="15.75" customHeight="1" outlineLevel="1">
      <c r="A16" s="345"/>
      <c r="B16" s="334"/>
      <c r="C16" s="138"/>
      <c r="D16" s="524" t="s">
        <v>190</v>
      </c>
      <c r="E16" s="30" t="s">
        <v>233</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591</v>
      </c>
      <c r="Y16" s="436"/>
      <c r="Z16" s="436"/>
      <c r="AA16" s="436"/>
      <c r="AB16" s="436"/>
      <c r="AC16" s="436"/>
      <c r="AD16" s="436"/>
      <c r="AE16" s="436"/>
      <c r="AF16" s="130"/>
      <c r="AG16" s="130"/>
      <c r="AH16" s="130"/>
      <c r="AI16" s="130"/>
    </row>
    <row r="17" spans="1:35" s="28" customFormat="1" ht="15.75" customHeight="1" outlineLevel="1">
      <c r="A17" s="345"/>
      <c r="B17" s="334"/>
      <c r="C17" s="138"/>
      <c r="D17" s="524" t="s">
        <v>191</v>
      </c>
      <c r="E17" s="30" t="s">
        <v>233</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591</v>
      </c>
      <c r="Y17" s="436"/>
      <c r="Z17" s="436"/>
      <c r="AA17" s="436"/>
      <c r="AB17" s="436"/>
      <c r="AC17" s="436"/>
      <c r="AD17" s="436"/>
      <c r="AE17" s="436"/>
      <c r="AF17" s="130"/>
      <c r="AG17" s="130"/>
      <c r="AH17" s="130"/>
      <c r="AI17" s="130"/>
    </row>
    <row r="18" spans="1:35" s="28" customFormat="1" ht="15.75" customHeight="1" outlineLevel="1">
      <c r="A18" s="345"/>
      <c r="B18" s="334"/>
      <c r="C18" s="138"/>
      <c r="D18" s="524" t="s">
        <v>194</v>
      </c>
      <c r="E18" s="30" t="s">
        <v>233</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591</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200</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184</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3"/>
      <c r="E22" s="714"/>
      <c r="F22" s="714"/>
      <c r="G22" s="714"/>
      <c r="H22" s="714"/>
      <c r="I22" s="714"/>
      <c r="J22" s="714"/>
      <c r="K22" s="714"/>
      <c r="L22" s="714"/>
      <c r="M22" s="714"/>
      <c r="N22" s="714"/>
      <c r="O22" s="714"/>
      <c r="P22" s="71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198</v>
      </c>
      <c r="D24" s="36" t="s">
        <v>0</v>
      </c>
      <c r="E24" s="30" t="s">
        <v>233</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591</v>
      </c>
      <c r="Y24" s="64"/>
      <c r="Z24" s="64"/>
      <c r="AA24" s="64"/>
      <c r="AB24" s="64"/>
      <c r="AC24" s="64"/>
      <c r="AD24" s="64"/>
      <c r="AE24" s="64"/>
      <c r="AF24" s="130"/>
      <c r="AG24" s="130"/>
      <c r="AH24" s="130"/>
      <c r="AI24" s="130"/>
    </row>
    <row r="25" spans="1:35" s="28" customFormat="1" ht="15.75" customHeight="1">
      <c r="A25" s="345"/>
      <c r="B25" s="334"/>
      <c r="C25" s="518" t="s">
        <v>201</v>
      </c>
      <c r="D25" s="36"/>
      <c r="E25" s="30" t="s">
        <v>233</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591</v>
      </c>
      <c r="Y25" s="64"/>
      <c r="Z25" s="64"/>
      <c r="AA25" s="64"/>
      <c r="AB25" s="64"/>
      <c r="AC25" s="64"/>
      <c r="AD25" s="64"/>
      <c r="AE25" s="64"/>
      <c r="AF25" s="130"/>
      <c r="AG25" s="130"/>
      <c r="AH25" s="130"/>
      <c r="AI25" s="130"/>
    </row>
    <row r="26" spans="1:35" s="28" customFormat="1" ht="15" customHeight="1">
      <c r="A26" s="345"/>
      <c r="B26" s="334"/>
      <c r="C26" s="518" t="s">
        <v>202</v>
      </c>
      <c r="D26" s="36" t="s">
        <v>0</v>
      </c>
      <c r="E26" s="30" t="s">
        <v>233</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591</v>
      </c>
      <c r="Y26" s="64"/>
      <c r="Z26" s="64"/>
      <c r="AA26" s="64"/>
      <c r="AB26" s="64"/>
      <c r="AC26" s="64"/>
      <c r="AD26" s="64"/>
      <c r="AE26" s="64"/>
      <c r="AF26" s="130"/>
      <c r="AG26" s="130"/>
      <c r="AH26" s="130"/>
      <c r="AI26" s="130"/>
    </row>
    <row r="27" spans="1:35" s="28" customFormat="1" ht="15.75" customHeight="1">
      <c r="A27" s="345"/>
      <c r="B27" s="334"/>
      <c r="C27" s="518" t="s">
        <v>182</v>
      </c>
      <c r="D27" s="36" t="s">
        <v>0</v>
      </c>
      <c r="E27" s="30" t="s">
        <v>233</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591</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3" t="str">
        <f>"Please suggest process improvements to the "&amp;D2&amp;" worksheet."</f>
        <v>Please suggest process improvements to the Interested Staff and EQC worksheet.</v>
      </c>
      <c r="E29" s="64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0"/>
      <c r="E30" s="641"/>
      <c r="F30" s="641"/>
      <c r="G30" s="641"/>
      <c r="H30" s="641"/>
      <c r="I30" s="641"/>
      <c r="J30" s="641"/>
      <c r="K30" s="641"/>
      <c r="L30" s="641"/>
      <c r="M30" s="641"/>
      <c r="N30" s="641"/>
      <c r="O30" s="641"/>
      <c r="P30" s="64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7" t="str">
        <f>R.1MediaAndLongName</f>
        <v>AQ Diesel federal grant align</v>
      </c>
      <c r="F2" s="727"/>
      <c r="G2" s="727"/>
      <c r="H2" s="727"/>
      <c r="I2" s="727"/>
      <c r="J2" s="727"/>
      <c r="K2" s="727"/>
      <c r="L2" s="727"/>
      <c r="M2" s="727"/>
      <c r="N2" s="727"/>
      <c r="O2" s="727"/>
      <c r="P2" s="72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8" t="s">
        <v>57</v>
      </c>
      <c r="N3" s="728"/>
      <c r="O3" s="728"/>
      <c r="P3" s="72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99" t="s">
        <v>54</v>
      </c>
      <c r="G4" s="699"/>
      <c r="H4" s="699"/>
      <c r="I4" s="699"/>
      <c r="J4" s="699"/>
      <c r="K4" s="699"/>
      <c r="L4" s="699"/>
      <c r="M4" s="700" t="str">
        <f>S4</f>
        <v>0</v>
      </c>
      <c r="N4" s="700"/>
      <c r="O4" s="700"/>
      <c r="P4" s="700"/>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99" t="s">
        <v>58</v>
      </c>
      <c r="G5" s="699"/>
      <c r="H5" s="699"/>
      <c r="I5" s="699"/>
      <c r="J5" s="699"/>
      <c r="K5" s="699"/>
      <c r="L5" s="699"/>
      <c r="M5" s="701" t="str">
        <f>S5</f>
        <v>$0</v>
      </c>
      <c r="N5" s="701"/>
      <c r="O5" s="701"/>
      <c r="P5" s="701"/>
      <c r="Q5" s="156"/>
      <c r="R5" s="334"/>
      <c r="S5" s="122" t="str">
        <f>IF(R.6StaffCount=0,"$0",IF(R.6LowDollars=0,"$0-"&amp;TEXT(R.6HighDollars,"#,###"),TEXT(R.6LowDollars,"$#,###")&amp;"-"&amp;TEXT(R.6HighDollars,"#,###")))</f>
        <v>$0</v>
      </c>
      <c r="T5" s="124">
        <f>T3*E5</f>
        <v>0</v>
      </c>
      <c r="U5" s="124">
        <f>U3*E5</f>
        <v>0</v>
      </c>
      <c r="V5" s="493"/>
      <c r="W5" s="493"/>
      <c r="X5" s="120"/>
      <c r="Y5" s="436"/>
      <c r="Z5" s="436" t="s">
        <v>197</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9" t="s">
        <v>256</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8"/>
      <c r="E11" s="719"/>
      <c r="F11" s="719"/>
      <c r="G11" s="719"/>
      <c r="H11" s="719"/>
      <c r="I11" s="719"/>
      <c r="J11" s="719"/>
      <c r="K11" s="719"/>
      <c r="L11" s="719"/>
      <c r="M11" s="719"/>
      <c r="N11" s="719"/>
      <c r="O11" s="719"/>
      <c r="P11" s="72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32" t="s">
        <v>18</v>
      </c>
      <c r="G12" s="732"/>
      <c r="H12" s="732"/>
      <c r="I12" s="732"/>
      <c r="J12" s="732"/>
      <c r="K12" s="732"/>
      <c r="L12" s="732"/>
      <c r="M12" s="732"/>
      <c r="N12" s="732"/>
      <c r="O12" s="732"/>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233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558</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233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233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233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3"/>
      <c r="E18" s="734"/>
      <c r="F18" s="734"/>
      <c r="G18" s="734"/>
      <c r="H18" s="734"/>
      <c r="I18" s="734"/>
      <c r="J18" s="734"/>
      <c r="K18" s="734"/>
      <c r="L18" s="734"/>
      <c r="M18" s="734"/>
      <c r="N18" s="734"/>
      <c r="O18" s="734"/>
      <c r="P18" s="73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233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558</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233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233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233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2"/>
      <c r="F24" s="722"/>
      <c r="G24" s="722"/>
      <c r="H24" s="722"/>
      <c r="I24" s="722"/>
      <c r="J24" s="722"/>
      <c r="K24" s="722"/>
      <c r="L24" s="722"/>
      <c r="M24" s="722"/>
      <c r="N24" s="722"/>
      <c r="O24" s="722"/>
      <c r="P24" s="72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8"/>
      <c r="E28" s="719"/>
      <c r="F28" s="719"/>
      <c r="G28" s="719"/>
      <c r="H28" s="719"/>
      <c r="I28" s="719"/>
      <c r="J28" s="719"/>
      <c r="K28" s="719"/>
      <c r="L28" s="719"/>
      <c r="M28" s="719"/>
      <c r="N28" s="719"/>
      <c r="O28" s="719"/>
      <c r="P28" s="72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233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558</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233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233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233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3"/>
      <c r="E35" s="724"/>
      <c r="F35" s="724"/>
      <c r="G35" s="724"/>
      <c r="H35" s="724"/>
      <c r="I35" s="724"/>
      <c r="J35" s="724"/>
      <c r="K35" s="724"/>
      <c r="L35" s="724"/>
      <c r="M35" s="724"/>
      <c r="N35" s="724"/>
      <c r="O35" s="724"/>
      <c r="P35" s="72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233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558</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233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233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233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2"/>
      <c r="F41" s="722"/>
      <c r="G41" s="722"/>
      <c r="H41" s="722"/>
      <c r="I41" s="722"/>
      <c r="J41" s="722"/>
      <c r="K41" s="722"/>
      <c r="L41" s="722"/>
      <c r="M41" s="722"/>
      <c r="N41" s="722"/>
      <c r="O41" s="722"/>
      <c r="P41" s="72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7"/>
      <c r="F42" s="717"/>
      <c r="G42" s="717"/>
      <c r="H42" s="717"/>
      <c r="I42" s="717"/>
      <c r="J42" s="717"/>
      <c r="K42" s="717"/>
      <c r="L42" s="717"/>
      <c r="M42" s="717"/>
      <c r="N42" s="717"/>
      <c r="O42" s="717"/>
      <c r="P42" s="71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8"/>
      <c r="E45" s="719"/>
      <c r="F45" s="719"/>
      <c r="G45" s="719"/>
      <c r="H45" s="719"/>
      <c r="I45" s="719"/>
      <c r="J45" s="719"/>
      <c r="K45" s="719"/>
      <c r="L45" s="719"/>
      <c r="M45" s="719"/>
      <c r="N45" s="719"/>
      <c r="O45" s="719"/>
      <c r="P45" s="72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21" t="s">
        <v>18</v>
      </c>
      <c r="G46" s="721"/>
      <c r="H46" s="721"/>
      <c r="I46" s="721"/>
      <c r="J46" s="721"/>
      <c r="K46" s="721"/>
      <c r="L46" s="721"/>
      <c r="M46" s="721"/>
      <c r="N46" s="721"/>
      <c r="O46" s="721"/>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233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558</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233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233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233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8"/>
      <c r="E52" s="719"/>
      <c r="F52" s="719"/>
      <c r="G52" s="719"/>
      <c r="H52" s="719"/>
      <c r="I52" s="719"/>
      <c r="J52" s="719"/>
      <c r="K52" s="719"/>
      <c r="L52" s="719"/>
      <c r="M52" s="719"/>
      <c r="N52" s="719"/>
      <c r="O52" s="719"/>
      <c r="P52" s="72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233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558</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233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233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233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2"/>
      <c r="F58" s="722"/>
      <c r="G58" s="722"/>
      <c r="H58" s="722"/>
      <c r="I58" s="722"/>
      <c r="J58" s="722"/>
      <c r="K58" s="722"/>
      <c r="L58" s="722"/>
      <c r="M58" s="722"/>
      <c r="N58" s="722"/>
      <c r="O58" s="722"/>
      <c r="P58" s="72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195</v>
      </c>
      <c r="E60" s="716" t="s">
        <v>196</v>
      </c>
      <c r="F60" s="716"/>
      <c r="G60" s="716"/>
      <c r="H60" s="716"/>
      <c r="I60" s="716"/>
      <c r="J60" s="716"/>
      <c r="K60" s="716"/>
      <c r="L60" s="716"/>
      <c r="M60" s="716"/>
      <c r="N60" s="716"/>
      <c r="O60" s="716"/>
      <c r="P60" s="71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8" t="s">
        <v>0</v>
      </c>
      <c r="E62" s="719"/>
      <c r="F62" s="719"/>
      <c r="G62" s="719"/>
      <c r="H62" s="719"/>
      <c r="I62" s="719"/>
      <c r="J62" s="719"/>
      <c r="K62" s="719"/>
      <c r="L62" s="719"/>
      <c r="M62" s="719"/>
      <c r="N62" s="719"/>
      <c r="O62" s="719"/>
      <c r="P62" s="72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233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558</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233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233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233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3"/>
      <c r="E70" s="724"/>
      <c r="F70" s="724"/>
      <c r="G70" s="724"/>
      <c r="H70" s="724"/>
      <c r="I70" s="724"/>
      <c r="J70" s="724"/>
      <c r="K70" s="724"/>
      <c r="L70" s="724"/>
      <c r="M70" s="724"/>
      <c r="N70" s="724"/>
      <c r="O70" s="724"/>
      <c r="P70" s="72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233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558</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233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233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233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2"/>
      <c r="F76" s="722"/>
      <c r="G76" s="722"/>
      <c r="H76" s="722"/>
      <c r="I76" s="722"/>
      <c r="J76" s="722"/>
      <c r="K76" s="722"/>
      <c r="L76" s="722"/>
      <c r="M76" s="722"/>
      <c r="N76" s="722"/>
      <c r="O76" s="722"/>
      <c r="P76" s="72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6" t="str">
        <f>"Please suggest process improvements to the "&amp;D2&amp;" worksheet."</f>
        <v>Please suggest process improvements to the Other Divisions worksheet.</v>
      </c>
      <c r="E78" s="726"/>
      <c r="F78" s="72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0"/>
      <c r="E79" s="641"/>
      <c r="F79" s="641"/>
      <c r="G79" s="641"/>
      <c r="H79" s="641"/>
      <c r="I79" s="641"/>
      <c r="J79" s="641"/>
      <c r="K79" s="641"/>
      <c r="L79" s="641"/>
      <c r="M79" s="641"/>
      <c r="N79" s="641"/>
      <c r="O79" s="641"/>
      <c r="P79" s="64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6"/>
      <c r="O82" s="686"/>
      <c r="P82" s="686"/>
      <c r="Q82" s="686"/>
      <c r="R82" s="686"/>
      <c r="S82" s="686"/>
      <c r="T82" s="686"/>
      <c r="U82" s="686"/>
      <c r="V82" s="686"/>
      <c r="W82" s="686"/>
      <c r="X82" s="686"/>
      <c r="Y82" s="686"/>
      <c r="Z82" s="686"/>
      <c r="AA82" s="686"/>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35978-7DC7-4986-B984-ED640C300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2012-08-20T17:54:52Z</cp:lastPrinted>
  <dcterms:created xsi:type="dcterms:W3CDTF">2012-04-11T21:44:01Z</dcterms:created>
  <dcterms:modified xsi:type="dcterms:W3CDTF">2013-07-16T17:04:13Z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