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ScheduleTasks!$B$2:$H$469</definedName>
    <definedName name="S.2ndHearingCity">ScheduleTasks!$D$254</definedName>
    <definedName name="S.2ndHearingDate">ScheduleTasks!$G$254</definedName>
    <definedName name="S.3rdHearingCity">ScheduleTasks!$D$255</definedName>
    <definedName name="S.3rdHearingDate">ScheduleTasks!$G$255</definedName>
    <definedName name="S.4thHearingCity">ScheduleTasks!$D$256</definedName>
    <definedName name="S.4thHearingDate">ScheduleTasks!$G$256</definedName>
    <definedName name="S.5thHearingCity">ScheduleTasks!$D$257</definedName>
    <definedName name="S.5thHearingDate">ScheduleTasks!$G$257</definedName>
    <definedName name="S.6thHearingCity">ScheduleTasks!$D$258</definedName>
    <definedName name="S.6thHearingDate">ScheduleTasks!$G$258</definedName>
    <definedName name="S.7thHearingCity">ScheduleTasks!$D$259</definedName>
    <definedName name="S.7thHearingDate">ScheduleTasks!$G$259</definedName>
    <definedName name="S.BANNER.AdvisoryCommitteeEnd">ScheduleTasks!$H$19</definedName>
    <definedName name="S.BANNER.AdvisoryCommitteeStart">ScheduleTasks!$G$19</definedName>
    <definedName name="S.BANNER.EQCEnd">ScheduleTasks!$H$392</definedName>
    <definedName name="S.BANNER.EQCStart">ScheduleTasks!$G$392</definedName>
    <definedName name="S.BANNER.FeeEnd">ScheduleTasks!$H$210</definedName>
    <definedName name="S.BANNER.FeeStart">ScheduleTasks!$G$210</definedName>
    <definedName name="S.BANNER.HearingEnd">ScheduleTasks!$H$341</definedName>
    <definedName name="S.BANNER.HearingStart">ScheduleTasks!$G$341</definedName>
    <definedName name="S.BANNER.NoticeEnd">ScheduleTasks!$H$250</definedName>
    <definedName name="S.BANNER.NoticeStart">ScheduleTasks!$G$250</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ScheduleTasks!$H$439</definedName>
    <definedName name="S.BANNER.PostEQCStart">ScheduleTasks!$H$439</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ScheduleTasks!$H$246</definedName>
    <definedName name="S.FileRuleWithSOS">ScheduleTasks!$H$37</definedName>
    <definedName name="S.FirstHearingCity">ScheduleTasks!$D$253</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ScheduleTasks!$H$469</definedName>
    <definedName name="S.LastHearingCity">ScheduleTasks!$D$260</definedName>
    <definedName name="S.LastHearingDate">ScheduleTasks!$G$260</definedName>
    <definedName name="S.MgrNoticeApproval">ScheduleTasks!$H$308</definedName>
    <definedName name="S.Pace">ScheduleTasks!$G$9</definedName>
    <definedName name="S.PostNoticeToRegistry">ScheduleTasks!$G$322</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8" i="94"/>
  <c r="AAE399"/>
  <c r="AAL371"/>
  <c r="AAL288"/>
  <c r="AAL275"/>
  <c r="G4"/>
  <c r="AAE417"/>
  <c r="AAJ416"/>
  <c r="AAJ414"/>
  <c r="B415" s="1"/>
  <c r="AAJ406"/>
  <c r="B406" s="1"/>
  <c r="AAJ396"/>
  <c r="AAJ395"/>
  <c r="AAL370"/>
  <c r="AAL378"/>
  <c r="AAL374"/>
  <c r="AAL443"/>
  <c r="AAL466"/>
  <c r="AAL465"/>
  <c r="AAL464"/>
  <c r="AAL462"/>
  <c r="AAL461"/>
  <c r="AAL457"/>
  <c r="AAL456"/>
  <c r="AAL455"/>
  <c r="AAL454"/>
  <c r="AAL453"/>
  <c r="AAL444"/>
  <c r="B443"/>
  <c r="AAL307"/>
  <c r="AAL452"/>
  <c r="AAL451"/>
  <c r="AAL450"/>
  <c r="AAL446"/>
  <c r="AAL445"/>
  <c r="AAL448"/>
  <c r="AAL281"/>
  <c r="AAL219" l="1"/>
  <c r="AAL90"/>
  <c r="AAL21" l="1"/>
  <c r="AAJ397"/>
  <c r="AAJ418"/>
  <c r="AAJ415"/>
  <c r="AAL376"/>
  <c r="AAL349"/>
  <c r="AAL348"/>
  <c r="AAL347"/>
  <c r="AAL337"/>
  <c r="AAL335"/>
  <c r="AAL333"/>
  <c r="AAL332"/>
  <c r="AAL330"/>
  <c r="AAL329"/>
  <c r="AAL321"/>
  <c r="AAL320"/>
  <c r="AAL319"/>
  <c r="AAL318"/>
  <c r="AAL317"/>
  <c r="AAL316"/>
  <c r="AAL315"/>
  <c r="AAL314"/>
  <c r="AAL285"/>
  <c r="AAL284"/>
  <c r="AAL283"/>
  <c r="AAL273"/>
  <c r="AAL272"/>
  <c r="AAL449"/>
  <c r="AAL236"/>
  <c r="AAL222"/>
  <c r="AAL221"/>
  <c r="AAL220"/>
  <c r="AAL215"/>
  <c r="AAL214"/>
  <c r="AAL92"/>
  <c r="AAL91"/>
  <c r="AAL88"/>
  <c r="AAL85"/>
  <c r="AAL65"/>
  <c r="AAL64"/>
  <c r="AAL68"/>
  <c r="AAE84"/>
  <c r="AAE60"/>
  <c r="AAL291"/>
  <c r="AAL290"/>
  <c r="AAL306"/>
  <c r="AAL26" l="1"/>
  <c r="AAL27"/>
  <c r="AAL28"/>
  <c r="AAL31"/>
  <c r="G44"/>
  <c r="AAG44"/>
  <c r="J6"/>
  <c r="J5" s="1"/>
  <c r="J4" s="1"/>
  <c r="AAG21"/>
  <c r="AAK31"/>
  <c r="AAK6"/>
  <c r="AAK29"/>
  <c r="AAL15"/>
  <c r="B15" s="1"/>
  <c r="AAL29"/>
  <c r="AAG19"/>
  <c r="AAL17"/>
  <c r="AAL19"/>
  <c r="AAH260"/>
  <c r="AAH259"/>
  <c r="H259" s="1"/>
  <c r="AAH258"/>
  <c r="H258" s="1"/>
  <c r="AAH257"/>
  <c r="H257" s="1"/>
  <c r="AAH256"/>
  <c r="H256" s="1"/>
  <c r="AAH255"/>
  <c r="H255" s="1"/>
  <c r="AAH254"/>
  <c r="H254" s="1"/>
  <c r="AAE297"/>
  <c r="AAE62"/>
  <c r="AAE310"/>
  <c r="AAE455"/>
  <c r="AAE454"/>
  <c r="AAE411"/>
  <c r="AAE412"/>
  <c r="AAE404"/>
  <c r="AAE403"/>
  <c r="AAE402"/>
  <c r="AAE401"/>
  <c r="AAE400"/>
  <c r="AAE396"/>
  <c r="AAE386"/>
  <c r="AAE387"/>
  <c r="AAE388"/>
  <c r="AAE378"/>
  <c r="AAE379"/>
  <c r="AAE380"/>
  <c r="AAE381"/>
  <c r="AAE382"/>
  <c r="AAE383"/>
  <c r="AAE384"/>
  <c r="AAE385"/>
  <c r="AAE373"/>
  <c r="AAE374"/>
  <c r="AAE375"/>
  <c r="AAE376"/>
  <c r="AAE377"/>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43"/>
  <c r="AAE337"/>
  <c r="AAE336"/>
  <c r="AAE335"/>
  <c r="AAE334"/>
  <c r="AAE333"/>
  <c r="AAE332"/>
  <c r="AAE331"/>
  <c r="AAE330"/>
  <c r="AAE329"/>
  <c r="AAE328"/>
  <c r="AAE327"/>
  <c r="AAE326"/>
  <c r="AAE325"/>
  <c r="AAE323"/>
  <c r="AAE324"/>
  <c r="AAE322"/>
  <c r="AAE318"/>
  <c r="AAE317"/>
  <c r="AAE316"/>
  <c r="AAE315"/>
  <c r="AAE314"/>
  <c r="AAE313"/>
  <c r="AAE312"/>
  <c r="AAE311"/>
  <c r="AAE309"/>
  <c r="AAE308"/>
  <c r="AAE307"/>
  <c r="AAE306"/>
  <c r="AAE305"/>
  <c r="AAE304"/>
  <c r="AAE303"/>
  <c r="AAE302"/>
  <c r="AAE301"/>
  <c r="AAE300"/>
  <c r="AAE299"/>
  <c r="AAE298"/>
  <c r="AAE290"/>
  <c r="AAE288"/>
  <c r="AAE296"/>
  <c r="AAE295"/>
  <c r="AAE294"/>
  <c r="AAE293"/>
  <c r="AAE292"/>
  <c r="AAE291"/>
  <c r="AAE289"/>
  <c r="AAE287"/>
  <c r="AAE286"/>
  <c r="AAE285"/>
  <c r="AAE284"/>
  <c r="AAE281"/>
  <c r="AAE270"/>
  <c r="AAE271"/>
  <c r="AAE272"/>
  <c r="AAE273"/>
  <c r="AAE274"/>
  <c r="AAE275"/>
  <c r="AAE276"/>
  <c r="AAE277"/>
  <c r="AAE278"/>
  <c r="AAE279"/>
  <c r="AAE280"/>
  <c r="AAE282"/>
  <c r="AAE283"/>
  <c r="AAE263"/>
  <c r="AAE264"/>
  <c r="AAE265"/>
  <c r="AAE266"/>
  <c r="AAE267"/>
  <c r="AAE268"/>
  <c r="AAE269"/>
  <c r="AAE262"/>
  <c r="AAE261"/>
  <c r="AAE253"/>
  <c r="AAE254"/>
  <c r="AAE255"/>
  <c r="AAE256"/>
  <c r="AAE257"/>
  <c r="AAE258"/>
  <c r="AAE259"/>
  <c r="AAE260"/>
  <c r="AAE252"/>
  <c r="AAE85"/>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38"/>
  <c r="AAE27"/>
  <c r="AAE25"/>
  <c r="AAE26"/>
  <c r="AAE30"/>
  <c r="AAE31"/>
  <c r="AAE32"/>
  <c r="AAE29"/>
  <c r="AAE28"/>
  <c r="AAE212"/>
  <c r="AAE61"/>
  <c r="AAE39"/>
  <c r="AAE23"/>
  <c r="AAE22"/>
  <c r="AAE453"/>
  <c r="AAE78"/>
  <c r="AAE77"/>
  <c r="AAE76"/>
  <c r="AAE75"/>
  <c r="AAE74"/>
  <c r="AAE73"/>
  <c r="AAE72"/>
  <c r="AAE71"/>
  <c r="AAE17"/>
  <c r="AAE19"/>
  <c r="AAE21"/>
  <c r="AAE15"/>
  <c r="AAE14"/>
  <c r="AAE13"/>
  <c r="AAJ12"/>
  <c r="AAL12" s="1"/>
  <c r="AAG6"/>
  <c r="K6" l="1"/>
  <c r="AAE12"/>
  <c r="H260"/>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8" s="1"/>
  <c r="B208"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39" i="94"/>
  <c r="B339" s="1"/>
  <c r="AAL32"/>
  <c r="B32" s="1"/>
  <c r="B39"/>
  <c r="AAL39"/>
  <c r="B29"/>
  <c r="AAL38"/>
  <c r="AAL25"/>
  <c r="B248" s="1"/>
  <c r="AAL22"/>
  <c r="B65"/>
  <c r="B64"/>
  <c r="B68"/>
  <c r="H469"/>
  <c r="K5" l="1"/>
  <c r="K4"/>
  <c r="AAE215"/>
  <c r="AAE217"/>
  <c r="AAE214"/>
  <c r="AAE216"/>
  <c r="AAE213"/>
  <c r="L6"/>
  <c r="AAK27"/>
  <c r="AAK36" s="1"/>
  <c r="AAH11" s="1"/>
  <c r="AAL463"/>
  <c r="B463" s="1"/>
  <c r="AAL447"/>
  <c r="B447" s="1"/>
  <c r="AAL322"/>
  <c r="B319" s="1"/>
  <c r="AAL213"/>
  <c r="B213" s="1"/>
  <c r="AAL218"/>
  <c r="B218" s="1"/>
  <c r="AAE240"/>
  <c r="AAE242"/>
  <c r="AAE244"/>
  <c r="AAE246"/>
  <c r="AAE230"/>
  <c r="AAE232"/>
  <c r="AAE234"/>
  <c r="AAE236"/>
  <c r="AAE238"/>
  <c r="AAE220"/>
  <c r="AAE222"/>
  <c r="AAE224"/>
  <c r="AAE226"/>
  <c r="AAE228"/>
  <c r="AAE239"/>
  <c r="AAE241"/>
  <c r="AAE243"/>
  <c r="AAE245"/>
  <c r="AAE229"/>
  <c r="AAE231"/>
  <c r="AAE233"/>
  <c r="AAE235"/>
  <c r="AAE237"/>
  <c r="AAE219"/>
  <c r="AAE221"/>
  <c r="AAE223"/>
  <c r="AAE225"/>
  <c r="AAE227"/>
  <c r="AAE218"/>
  <c r="AAE321"/>
  <c r="AAE464"/>
  <c r="AAE466"/>
  <c r="AAE449"/>
  <c r="AAE447"/>
  <c r="AAE320"/>
  <c r="AAE319"/>
  <c r="AAE465"/>
  <c r="AAE463"/>
  <c r="AAE448"/>
  <c r="AAE450"/>
  <c r="AAP17"/>
  <c r="AAP20" s="1"/>
  <c r="AAQ17"/>
  <c r="AAQ20" s="1"/>
  <c r="AAR17"/>
  <c r="AAR20" s="1"/>
  <c r="AAS17"/>
  <c r="AAS20" s="1"/>
  <c r="AAS11" s="1"/>
  <c r="AAL5"/>
  <c r="D20" i="84"/>
  <c r="B12" i="94"/>
  <c r="B28"/>
  <c r="B38"/>
  <c r="AAL23"/>
  <c r="B23" s="1"/>
  <c r="B22"/>
  <c r="B27"/>
  <c r="B26"/>
  <c r="B25"/>
  <c r="AAL361"/>
  <c r="AAL252"/>
  <c r="B252" s="1"/>
  <c r="B31"/>
  <c r="AAH39" l="1"/>
  <c r="H39" s="1"/>
  <c r="L4"/>
  <c r="L5"/>
  <c r="M6"/>
  <c r="F11"/>
  <c r="AAP11"/>
  <c r="AAR11"/>
  <c r="AAQ11"/>
  <c r="B371"/>
  <c r="B369"/>
  <c r="B368"/>
  <c r="B367"/>
  <c r="B366"/>
  <c r="B365"/>
  <c r="B364"/>
  <c r="B363"/>
  <c r="B362"/>
  <c r="B374"/>
  <c r="AAL204"/>
  <c r="AAL200"/>
  <c r="AAL189"/>
  <c r="G186"/>
  <c r="B204" s="1"/>
  <c r="AAL184"/>
  <c r="AAL180"/>
  <c r="AAL169"/>
  <c r="G166"/>
  <c r="B195" s="1"/>
  <c r="AAL164"/>
  <c r="AAL160"/>
  <c r="AAL149"/>
  <c r="G146"/>
  <c r="AAL144"/>
  <c r="AAL140"/>
  <c r="AAL129"/>
  <c r="G126"/>
  <c r="G106"/>
  <c r="B466"/>
  <c r="B465"/>
  <c r="B464"/>
  <c r="B449"/>
  <c r="B448"/>
  <c r="B397"/>
  <c r="B416"/>
  <c r="B395"/>
  <c r="B318"/>
  <c r="C75" i="84"/>
  <c r="B349" i="94"/>
  <c r="AAL120"/>
  <c r="AAL313"/>
  <c r="B19"/>
  <c r="B189" l="1"/>
  <c r="B200"/>
  <c r="B180"/>
  <c r="B184"/>
  <c r="B169"/>
  <c r="B175"/>
  <c r="B160"/>
  <c r="B164"/>
  <c r="B149"/>
  <c r="B155"/>
  <c r="B140"/>
  <c r="B144"/>
  <c r="B129"/>
  <c r="B135"/>
  <c r="B120"/>
  <c r="B124"/>
  <c r="B109"/>
  <c r="B115"/>
  <c r="G11"/>
  <c r="AAH34"/>
  <c r="H38"/>
  <c r="AAH37"/>
  <c r="H37" s="1"/>
  <c r="G37" s="1"/>
  <c r="AAI40"/>
  <c r="M5"/>
  <c r="N6"/>
  <c r="M4"/>
  <c r="G39"/>
  <c r="B21"/>
  <c r="B236"/>
  <c r="B223"/>
  <c r="B222"/>
  <c r="B221"/>
  <c r="B220"/>
  <c r="B216"/>
  <c r="B215"/>
  <c r="AAL289"/>
  <c r="B418"/>
  <c r="B417"/>
  <c r="AAJ398"/>
  <c r="B396"/>
  <c r="B378"/>
  <c r="AAL286"/>
  <c r="AAL124"/>
  <c r="AAL109"/>
  <c r="G38" l="1"/>
  <c r="AAH17"/>
  <c r="N5"/>
  <c r="O6"/>
  <c r="N4"/>
  <c r="B376"/>
  <c r="B370"/>
  <c r="B361"/>
  <c r="B350"/>
  <c r="B348"/>
  <c r="B337"/>
  <c r="B335"/>
  <c r="B320"/>
  <c r="B317"/>
  <c r="B333"/>
  <c r="B332"/>
  <c r="B330"/>
  <c r="B329"/>
  <c r="B328"/>
  <c r="B321"/>
  <c r="B316"/>
  <c r="B315"/>
  <c r="B314"/>
  <c r="B285"/>
  <c r="B284"/>
  <c r="B283"/>
  <c r="B273"/>
  <c r="B272"/>
  <c r="B92"/>
  <c r="B91"/>
  <c r="B90"/>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0"/>
  <c r="G250" s="1"/>
  <c r="AAG270" s="1"/>
  <c r="G270" s="1"/>
  <c r="ABB5"/>
  <c r="AAO9"/>
  <c r="AAW15"/>
  <c r="AAW17"/>
  <c r="AAW19"/>
  <c r="AAW18"/>
  <c r="Q5" l="1"/>
  <c r="R6"/>
  <c r="Q4"/>
  <c r="AAG261"/>
  <c r="AAG47"/>
  <c r="G47" s="1"/>
  <c r="G261" l="1"/>
  <c r="AAH261" s="1"/>
  <c r="H261" s="1"/>
  <c r="R5"/>
  <c r="S6"/>
  <c r="R4"/>
  <c r="AAH47"/>
  <c r="E261" l="1"/>
  <c r="AAG263"/>
  <c r="G263" s="1"/>
  <c r="F261"/>
  <c r="S5"/>
  <c r="T6"/>
  <c r="S4"/>
  <c r="H47"/>
  <c r="AAG48" s="1"/>
  <c r="G48" s="1"/>
  <c r="AAH48" s="1"/>
  <c r="AAH263"/>
  <c r="H263" s="1"/>
  <c r="E263" s="1"/>
  <c r="E47" l="1"/>
  <c r="T5"/>
  <c r="U6"/>
  <c r="T4"/>
  <c r="F47"/>
  <c r="H48"/>
  <c r="E48" s="1"/>
  <c r="F263"/>
  <c r="AAG264"/>
  <c r="G264" s="1"/>
  <c r="U5" l="1"/>
  <c r="V6"/>
  <c r="U4"/>
  <c r="F48"/>
  <c r="AAG49"/>
  <c r="G49" s="1"/>
  <c r="AAH49" s="1"/>
  <c r="AAH264"/>
  <c r="H264" s="1"/>
  <c r="E264" s="1"/>
  <c r="V5" l="1"/>
  <c r="W6"/>
  <c r="V4"/>
  <c r="H49"/>
  <c r="E49" s="1"/>
  <c r="F264"/>
  <c r="AAG265"/>
  <c r="G265" s="1"/>
  <c r="W5" l="1"/>
  <c r="X6"/>
  <c r="W4"/>
  <c r="AAG50"/>
  <c r="G50" s="1"/>
  <c r="AAH50" s="1"/>
  <c r="H50" s="1"/>
  <c r="E50" s="1"/>
  <c r="F49"/>
  <c r="AAH265"/>
  <c r="H265" s="1"/>
  <c r="E265" s="1"/>
  <c r="X5" l="1"/>
  <c r="Y6"/>
  <c r="X4"/>
  <c r="F50"/>
  <c r="AAG67"/>
  <c r="G67" s="1"/>
  <c r="F265"/>
  <c r="AAG266"/>
  <c r="G266" s="1"/>
  <c r="Y5" l="1"/>
  <c r="Z6"/>
  <c r="Y4"/>
  <c r="AAH67"/>
  <c r="AAH266"/>
  <c r="H266" s="1"/>
  <c r="E266" s="1"/>
  <c r="Z5" l="1"/>
  <c r="AA6"/>
  <c r="Z4"/>
  <c r="H67"/>
  <c r="E67" s="1"/>
  <c r="F67"/>
  <c r="F266"/>
  <c r="AAG267"/>
  <c r="G267" s="1"/>
  <c r="AAG68" l="1"/>
  <c r="G68" s="1"/>
  <c r="AAH68" s="1"/>
  <c r="H68" s="1"/>
  <c r="AA5"/>
  <c r="AB6"/>
  <c r="AA4"/>
  <c r="AAH267"/>
  <c r="H267" s="1"/>
  <c r="E267" s="1"/>
  <c r="AB5" l="1"/>
  <c r="AC6"/>
  <c r="AB4"/>
  <c r="AAG69"/>
  <c r="G69" s="1"/>
  <c r="AAH69" s="1"/>
  <c r="F68"/>
  <c r="E68"/>
  <c r="F267"/>
  <c r="AAG268"/>
  <c r="G268" s="1"/>
  <c r="AC5" l="1"/>
  <c r="AD6"/>
  <c r="AC4"/>
  <c r="H69"/>
  <c r="E69" s="1"/>
  <c r="AAH268"/>
  <c r="H268" s="1"/>
  <c r="E268" s="1"/>
  <c r="AD5" l="1"/>
  <c r="AE6"/>
  <c r="AD4"/>
  <c r="AAG70"/>
  <c r="G70" s="1"/>
  <c r="AAH70" s="1"/>
  <c r="F69"/>
  <c r="F268"/>
  <c r="AE5" l="1"/>
  <c r="AF6"/>
  <c r="AE4"/>
  <c r="H70"/>
  <c r="E70" s="1"/>
  <c r="AAG287"/>
  <c r="G287" s="1"/>
  <c r="AAG285"/>
  <c r="G285" s="1"/>
  <c r="AAG275"/>
  <c r="G275" s="1"/>
  <c r="AAG273"/>
  <c r="G273" s="1"/>
  <c r="AAG286"/>
  <c r="G286" s="1"/>
  <c r="AAG284"/>
  <c r="G284" s="1"/>
  <c r="AAG283"/>
  <c r="G283" s="1"/>
  <c r="AAG274"/>
  <c r="G274" s="1"/>
  <c r="AAG272"/>
  <c r="G272"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5"/>
  <c r="B444"/>
  <c r="AAG459"/>
  <c r="G459" s="1"/>
  <c r="AAH35"/>
  <c r="H35" s="1"/>
  <c r="AAH29"/>
  <c r="H29" s="1"/>
  <c r="AAH392"/>
  <c r="H392" s="1"/>
  <c r="AAH429"/>
  <c r="H429" s="1"/>
  <c r="AAH435"/>
  <c r="H435" s="1"/>
  <c r="AAG442"/>
  <c r="G442" s="1"/>
  <c r="H34"/>
  <c r="AAH19"/>
  <c r="H19" s="1"/>
  <c r="AAG13"/>
  <c r="AAG15"/>
  <c r="G15" s="1"/>
  <c r="ABB19"/>
  <c r="ABD19" s="1"/>
  <c r="AAG14"/>
  <c r="G14" s="1"/>
  <c r="F39"/>
  <c r="AAH439"/>
  <c r="H439" s="1"/>
  <c r="AAH422" l="1"/>
  <c r="AAH420"/>
  <c r="AAH423"/>
  <c r="AAH421"/>
  <c r="AAH426"/>
  <c r="G34"/>
  <c r="AAH385"/>
  <c r="H385" s="1"/>
  <c r="AAH384"/>
  <c r="H384" s="1"/>
  <c r="AAH383"/>
  <c r="H383" s="1"/>
  <c r="AAH382"/>
  <c r="H382" s="1"/>
  <c r="AAH381"/>
  <c r="H381" s="1"/>
  <c r="AAH380"/>
  <c r="H380" s="1"/>
  <c r="AAH379"/>
  <c r="H379" s="1"/>
  <c r="BU6"/>
  <c r="BU5" s="1"/>
  <c r="BT4"/>
  <c r="F35"/>
  <c r="G35"/>
  <c r="AAH82"/>
  <c r="H82"/>
  <c r="AAH14"/>
  <c r="H14" s="1"/>
  <c r="AAH15"/>
  <c r="H15" s="1"/>
  <c r="AAH13"/>
  <c r="AAH452"/>
  <c r="H452" s="1"/>
  <c r="F452" s="1"/>
  <c r="AAH6"/>
  <c r="F429"/>
  <c r="AAG431"/>
  <c r="G431" s="1"/>
  <c r="AAH40"/>
  <c r="H40" s="1"/>
  <c r="G40" s="1"/>
  <c r="AAH459"/>
  <c r="H459" s="1"/>
  <c r="F459" s="1"/>
  <c r="F37"/>
  <c r="AAH460"/>
  <c r="H460" s="1"/>
  <c r="F460" s="1"/>
  <c r="F38"/>
  <c r="H17"/>
  <c r="E17" s="1"/>
  <c r="F439"/>
  <c r="AAH375"/>
  <c r="H375" s="1"/>
  <c r="AAG454"/>
  <c r="G454" s="1"/>
  <c r="AAH376"/>
  <c r="H376" s="1"/>
  <c r="AAG451"/>
  <c r="G451" s="1"/>
  <c r="AAG439"/>
  <c r="G439" s="1"/>
  <c r="AAH428"/>
  <c r="H428" s="1"/>
  <c r="F428" s="1"/>
  <c r="AAG456"/>
  <c r="G456" s="1"/>
  <c r="AAG452"/>
  <c r="G452" s="1"/>
  <c r="F34"/>
  <c r="AAH463"/>
  <c r="H463" s="1"/>
  <c r="AAH394"/>
  <c r="H394" s="1"/>
  <c r="AAH341"/>
  <c r="H341" s="1"/>
  <c r="AAH405"/>
  <c r="H405" s="1"/>
  <c r="AAG455"/>
  <c r="G455" s="1"/>
  <c r="AAH414"/>
  <c r="H414" s="1"/>
  <c r="AAH427"/>
  <c r="H427" s="1"/>
  <c r="AAG468"/>
  <c r="G468" s="1"/>
  <c r="AAG453"/>
  <c r="G453" s="1"/>
  <c r="AAG457"/>
  <c r="G457" s="1"/>
  <c r="AAH442"/>
  <c r="H442" s="1"/>
  <c r="F442" s="1"/>
  <c r="ABB18"/>
  <c r="AAH453"/>
  <c r="H453" s="1"/>
  <c r="F453" s="1"/>
  <c r="AAH468"/>
  <c r="H468" s="1"/>
  <c r="F468" s="1"/>
  <c r="AAH455"/>
  <c r="H455" s="1"/>
  <c r="F455" s="1"/>
  <c r="ABC19"/>
  <c r="AAH451"/>
  <c r="H451" s="1"/>
  <c r="F451" s="1"/>
  <c r="AAH457"/>
  <c r="H457" s="1"/>
  <c r="F457" s="1"/>
  <c r="AAZ19"/>
  <c r="AAH454"/>
  <c r="H454" s="1"/>
  <c r="F454" s="1"/>
  <c r="AAH456"/>
  <c r="H456" s="1"/>
  <c r="F456" s="1"/>
  <c r="AAG385" l="1"/>
  <c r="G385" s="1"/>
  <c r="AAG384"/>
  <c r="G384" s="1"/>
  <c r="AAG383"/>
  <c r="G383" s="1"/>
  <c r="AAG382"/>
  <c r="G382" s="1"/>
  <c r="AAG381"/>
  <c r="G381" s="1"/>
  <c r="AAG380"/>
  <c r="G380" s="1"/>
  <c r="E380" s="1"/>
  <c r="AAG379"/>
  <c r="G379" s="1"/>
  <c r="AAH313"/>
  <c r="BV6"/>
  <c r="BV5" s="1"/>
  <c r="BU4"/>
  <c r="AAH44"/>
  <c r="H44" s="1"/>
  <c r="F44" s="1"/>
  <c r="F15"/>
  <c r="AAI13"/>
  <c r="D13" s="1"/>
  <c r="F14"/>
  <c r="AAI15"/>
  <c r="D15" s="1"/>
  <c r="AAI14"/>
  <c r="D14" s="1"/>
  <c r="AAI29"/>
  <c r="D29" s="1"/>
  <c r="AAH31"/>
  <c r="H31" s="1"/>
  <c r="E452"/>
  <c r="E442"/>
  <c r="E453"/>
  <c r="E455"/>
  <c r="AAG376"/>
  <c r="AAH28"/>
  <c r="H313"/>
  <c r="F313" s="1"/>
  <c r="F29"/>
  <c r="E451"/>
  <c r="AAZ18"/>
  <c r="ABD18"/>
  <c r="ABB17" s="1"/>
  <c r="F427"/>
  <c r="AAG427"/>
  <c r="G427" s="1"/>
  <c r="E427" s="1"/>
  <c r="AAG428"/>
  <c r="G428" s="1"/>
  <c r="E428" s="1"/>
  <c r="F376"/>
  <c r="F375"/>
  <c r="F17"/>
  <c r="F40"/>
  <c r="AAG460"/>
  <c r="G460" s="1"/>
  <c r="E460" s="1"/>
  <c r="AAH4"/>
  <c r="F463"/>
  <c r="AAY19"/>
  <c r="AAX19" s="1"/>
  <c r="ABA19"/>
  <c r="AAV19" s="1"/>
  <c r="F380"/>
  <c r="F414"/>
  <c r="F405"/>
  <c r="F394"/>
  <c r="E379"/>
  <c r="F379"/>
  <c r="AAH431"/>
  <c r="H431" s="1"/>
  <c r="E431" s="1"/>
  <c r="E457"/>
  <c r="E468"/>
  <c r="E456"/>
  <c r="E454"/>
  <c r="E459"/>
  <c r="G376" l="1"/>
  <c r="E376" s="1"/>
  <c r="BW6"/>
  <c r="BW5" s="1"/>
  <c r="BV4"/>
  <c r="AAH343"/>
  <c r="H343" s="1"/>
  <c r="F343" s="1"/>
  <c r="G31"/>
  <c r="H28"/>
  <c r="F13"/>
  <c r="AAG253"/>
  <c r="G253" s="1"/>
  <c r="AAG255" s="1"/>
  <c r="G255" s="1"/>
  <c r="F31"/>
  <c r="AAH346"/>
  <c r="H346" s="1"/>
  <c r="F346" s="1"/>
  <c r="G362"/>
  <c r="AAH26"/>
  <c r="H26" s="1"/>
  <c r="G26" s="1"/>
  <c r="H362"/>
  <c r="F362" s="1"/>
  <c r="G19"/>
  <c r="ABD17"/>
  <c r="ABC17" s="1"/>
  <c r="AAZ17"/>
  <c r="F431"/>
  <c r="AAG432"/>
  <c r="G432" s="1"/>
  <c r="H420"/>
  <c r="ABA18"/>
  <c r="AAV18" s="1"/>
  <c r="AAY18"/>
  <c r="AAX18" s="1"/>
  <c r="ABC18"/>
  <c r="AAG331" l="1"/>
  <c r="G331" s="1"/>
  <c r="AAH447"/>
  <c r="AAG421"/>
  <c r="H447"/>
  <c r="F447" s="1"/>
  <c r="AAG322"/>
  <c r="G322" s="1"/>
  <c r="AAG375" s="1"/>
  <c r="G375" s="1"/>
  <c r="E375" s="1"/>
  <c r="AAH213"/>
  <c r="H213" s="1"/>
  <c r="F213" s="1"/>
  <c r="AAG313"/>
  <c r="G313" s="1"/>
  <c r="E313" s="1"/>
  <c r="AAG300"/>
  <c r="G300" s="1"/>
  <c r="AAG299" s="1"/>
  <c r="AAH311"/>
  <c r="AAG309"/>
  <c r="AAG258"/>
  <c r="G258" s="1"/>
  <c r="H367" s="1"/>
  <c r="F367" s="1"/>
  <c r="AAG254"/>
  <c r="G254" s="1"/>
  <c r="G363" s="1"/>
  <c r="F26"/>
  <c r="AAG260"/>
  <c r="G260" s="1"/>
  <c r="AAH32" s="1"/>
  <c r="H32" s="1"/>
  <c r="G32" s="1"/>
  <c r="AAG257"/>
  <c r="G257" s="1"/>
  <c r="H366" s="1"/>
  <c r="F366" s="1"/>
  <c r="AAG392"/>
  <c r="G392" s="1"/>
  <c r="F28"/>
  <c r="AAG259"/>
  <c r="G259" s="1"/>
  <c r="H368" s="1"/>
  <c r="F368" s="1"/>
  <c r="AAG256"/>
  <c r="G256" s="1"/>
  <c r="H365" s="1"/>
  <c r="F365" s="1"/>
  <c r="AAG341"/>
  <c r="G341" s="1"/>
  <c r="F341" s="1"/>
  <c r="AAH218"/>
  <c r="H218" s="1"/>
  <c r="F218" s="1"/>
  <c r="AAH210"/>
  <c r="H210" s="1"/>
  <c r="AAH21" s="1"/>
  <c r="H21" s="1"/>
  <c r="BX6"/>
  <c r="BX5" s="1"/>
  <c r="BW4"/>
  <c r="AAH27"/>
  <c r="H27" s="1"/>
  <c r="AAH236" s="1"/>
  <c r="H236" s="1"/>
  <c r="G28"/>
  <c r="E19"/>
  <c r="AAG82"/>
  <c r="AAG85" s="1"/>
  <c r="AAG78"/>
  <c r="G78" s="1"/>
  <c r="AAH71"/>
  <c r="H71" s="1"/>
  <c r="AAH78"/>
  <c r="H78" s="1"/>
  <c r="F78" s="1"/>
  <c r="E362"/>
  <c r="G369"/>
  <c r="H369"/>
  <c r="F369" s="1"/>
  <c r="H364"/>
  <c r="F364" s="1"/>
  <c r="G364"/>
  <c r="AAG429"/>
  <c r="G429" s="1"/>
  <c r="E429" s="1"/>
  <c r="G82"/>
  <c r="F82" s="1"/>
  <c r="F19"/>
  <c r="AAH331"/>
  <c r="H331" s="1"/>
  <c r="F331" s="1"/>
  <c r="G21"/>
  <c r="AAG210" s="1"/>
  <c r="F27"/>
  <c r="ABB15"/>
  <c r="AAZ15" s="1"/>
  <c r="F381"/>
  <c r="F420"/>
  <c r="G421"/>
  <c r="AAH432"/>
  <c r="H432" s="1"/>
  <c r="F432" s="1"/>
  <c r="AAY17"/>
  <c r="AAX17" s="1"/>
  <c r="ABA17"/>
  <c r="AAV17" s="1"/>
  <c r="E381"/>
  <c r="F392" l="1"/>
  <c r="AAG414"/>
  <c r="G414" s="1"/>
  <c r="E414" s="1"/>
  <c r="AAG394"/>
  <c r="G394" s="1"/>
  <c r="AAG405"/>
  <c r="G405" s="1"/>
  <c r="E405" s="1"/>
  <c r="AAH322"/>
  <c r="H322" s="1"/>
  <c r="F322" s="1"/>
  <c r="G366"/>
  <c r="G367"/>
  <c r="E367" s="1"/>
  <c r="G368"/>
  <c r="H363"/>
  <c r="F363" s="1"/>
  <c r="G365"/>
  <c r="E365" s="1"/>
  <c r="AAG371"/>
  <c r="G371" s="1"/>
  <c r="AAG370"/>
  <c r="G370" s="1"/>
  <c r="AAG308"/>
  <c r="G308" s="1"/>
  <c r="AAH305" s="1"/>
  <c r="G309"/>
  <c r="AAG224"/>
  <c r="G224" s="1"/>
  <c r="AAH224" s="1"/>
  <c r="H224" s="1"/>
  <c r="AAG225" s="1"/>
  <c r="G225" s="1"/>
  <c r="AAH225" s="1"/>
  <c r="H225" s="1"/>
  <c r="AAG343"/>
  <c r="G343" s="1"/>
  <c r="E343" s="1"/>
  <c r="AAG346"/>
  <c r="G346" s="1"/>
  <c r="E346" s="1"/>
  <c r="G27"/>
  <c r="AAG236"/>
  <c r="G236" s="1"/>
  <c r="E236" s="1"/>
  <c r="BY6"/>
  <c r="BY5" s="1"/>
  <c r="BX4"/>
  <c r="E78"/>
  <c r="F71"/>
  <c r="E71"/>
  <c r="E363"/>
  <c r="E369"/>
  <c r="E364"/>
  <c r="AAG372"/>
  <c r="AAH250"/>
  <c r="H250" s="1"/>
  <c r="F250" s="1"/>
  <c r="H372"/>
  <c r="AAH370"/>
  <c r="H370" s="1"/>
  <c r="F370" s="1"/>
  <c r="AAH371"/>
  <c r="H371" s="1"/>
  <c r="F371" s="1"/>
  <c r="F32"/>
  <c r="E368"/>
  <c r="E366"/>
  <c r="ABD15"/>
  <c r="ABC15" s="1"/>
  <c r="E21"/>
  <c r="F21"/>
  <c r="AAG352"/>
  <c r="G352" s="1"/>
  <c r="AAH352" s="1"/>
  <c r="H352" s="1"/>
  <c r="E224"/>
  <c r="F224"/>
  <c r="E432"/>
  <c r="E322"/>
  <c r="E331"/>
  <c r="H421"/>
  <c r="ABA15"/>
  <c r="AAV15" s="1"/>
  <c r="AAY15"/>
  <c r="AAX15" s="1"/>
  <c r="E394" l="1"/>
  <c r="AAG420"/>
  <c r="G420" s="1"/>
  <c r="E420" s="1"/>
  <c r="E421"/>
  <c r="AAG422"/>
  <c r="AAH308"/>
  <c r="AAG311"/>
  <c r="G311" s="1"/>
  <c r="AAG237"/>
  <c r="G237" s="1"/>
  <c r="AAH237" s="1"/>
  <c r="H237" s="1"/>
  <c r="E237" s="1"/>
  <c r="F236"/>
  <c r="BZ6"/>
  <c r="BZ5" s="1"/>
  <c r="BY4"/>
  <c r="E370"/>
  <c r="E371"/>
  <c r="E225"/>
  <c r="AAG226"/>
  <c r="G226" s="1"/>
  <c r="AAH226" s="1"/>
  <c r="H226" s="1"/>
  <c r="F225"/>
  <c r="E352"/>
  <c r="AAG353"/>
  <c r="G353" s="1"/>
  <c r="AAH353" s="1"/>
  <c r="H353" s="1"/>
  <c r="F352"/>
  <c r="G85"/>
  <c r="F382"/>
  <c r="F421"/>
  <c r="G422"/>
  <c r="E382"/>
  <c r="F237" l="1"/>
  <c r="AAG238"/>
  <c r="G238" s="1"/>
  <c r="AAH238" s="1"/>
  <c r="H238" s="1"/>
  <c r="AAG240" s="1"/>
  <c r="G240" s="1"/>
  <c r="AAH240" s="1"/>
  <c r="H240" s="1"/>
  <c r="CA6"/>
  <c r="CA5" s="1"/>
  <c r="BZ4"/>
  <c r="AAH85"/>
  <c r="H85" s="1"/>
  <c r="E85" s="1"/>
  <c r="E353"/>
  <c r="AAG354"/>
  <c r="G354" s="1"/>
  <c r="AAH354" s="1"/>
  <c r="H354" s="1"/>
  <c r="F353"/>
  <c r="E226"/>
  <c r="AAG227"/>
  <c r="G227" s="1"/>
  <c r="F226"/>
  <c r="H422"/>
  <c r="E383"/>
  <c r="E422" l="1"/>
  <c r="AAG423"/>
  <c r="E238"/>
  <c r="F238"/>
  <c r="CB6"/>
  <c r="CB5" s="1"/>
  <c r="CA4"/>
  <c r="AAH227"/>
  <c r="H227" s="1"/>
  <c r="E227" s="1"/>
  <c r="F85"/>
  <c r="AAG86"/>
  <c r="G86" s="1"/>
  <c r="E240"/>
  <c r="AAG241"/>
  <c r="G241" s="1"/>
  <c r="AAH241" s="1"/>
  <c r="H241" s="1"/>
  <c r="F240"/>
  <c r="E354"/>
  <c r="AAG355"/>
  <c r="G355" s="1"/>
  <c r="AAH355" s="1"/>
  <c r="H355" s="1"/>
  <c r="F354"/>
  <c r="F383"/>
  <c r="F422"/>
  <c r="G423"/>
  <c r="CC6" l="1"/>
  <c r="CC5" s="1"/>
  <c r="CB4"/>
  <c r="E355"/>
  <c r="AAG356"/>
  <c r="G356" s="1"/>
  <c r="AAH356" s="1"/>
  <c r="H356" s="1"/>
  <c r="F355"/>
  <c r="AAG228"/>
  <c r="G228" s="1"/>
  <c r="AAH228" s="1"/>
  <c r="H228" s="1"/>
  <c r="F227"/>
  <c r="E241"/>
  <c r="F241"/>
  <c r="AAG242"/>
  <c r="G242" s="1"/>
  <c r="AAH242" s="1"/>
  <c r="H242" s="1"/>
  <c r="AAH86"/>
  <c r="H86" s="1"/>
  <c r="E384"/>
  <c r="H423"/>
  <c r="AAG426" s="1"/>
  <c r="CD6" l="1"/>
  <c r="CD5" s="1"/>
  <c r="CC4"/>
  <c r="AAG87"/>
  <c r="G87" s="1"/>
  <c r="F86"/>
  <c r="E242"/>
  <c r="F242"/>
  <c r="AAG243"/>
  <c r="G243" s="1"/>
  <c r="AAH243" s="1"/>
  <c r="H243" s="1"/>
  <c r="G299"/>
  <c r="AAH270" s="1"/>
  <c r="H270" s="1"/>
  <c r="E228"/>
  <c r="AAG232"/>
  <c r="G232" s="1"/>
  <c r="AAH232" s="1"/>
  <c r="H232" s="1"/>
  <c r="F228"/>
  <c r="E356"/>
  <c r="F356"/>
  <c r="AAG359"/>
  <c r="G359" s="1"/>
  <c r="E86"/>
  <c r="F423"/>
  <c r="F384"/>
  <c r="E423"/>
  <c r="AAH286" l="1"/>
  <c r="H286" s="1"/>
  <c r="AAH274"/>
  <c r="H274" s="1"/>
  <c r="F270"/>
  <c r="AAH273"/>
  <c r="AAH284"/>
  <c r="AAH272"/>
  <c r="H272" s="1"/>
  <c r="AAH275"/>
  <c r="H275" s="1"/>
  <c r="AAH285"/>
  <c r="AAH283"/>
  <c r="AAH287"/>
  <c r="E270"/>
  <c r="CE6"/>
  <c r="CE5" s="1"/>
  <c r="CD4"/>
  <c r="AAH299"/>
  <c r="H299" s="1"/>
  <c r="E299" s="1"/>
  <c r="E243"/>
  <c r="AAG246"/>
  <c r="G246" s="1"/>
  <c r="F243"/>
  <c r="AAH87"/>
  <c r="H87" s="1"/>
  <c r="E87" s="1"/>
  <c r="AAH359"/>
  <c r="H359" s="1"/>
  <c r="F359" s="1"/>
  <c r="E232"/>
  <c r="AAG233"/>
  <c r="G233" s="1"/>
  <c r="F232"/>
  <c r="E385"/>
  <c r="E283" l="1"/>
  <c r="H283"/>
  <c r="F283" s="1"/>
  <c r="F286"/>
  <c r="E286"/>
  <c r="H287"/>
  <c r="E287" s="1"/>
  <c r="E274"/>
  <c r="F274"/>
  <c r="H273"/>
  <c r="F273" s="1"/>
  <c r="H284"/>
  <c r="E284" s="1"/>
  <c r="F272"/>
  <c r="E272"/>
  <c r="E275"/>
  <c r="F275"/>
  <c r="H285"/>
  <c r="E285" s="1"/>
  <c r="CF6"/>
  <c r="CF5" s="1"/>
  <c r="CE4"/>
  <c r="E359"/>
  <c r="F299"/>
  <c r="AAH233"/>
  <c r="H233" s="1"/>
  <c r="F233" s="1"/>
  <c r="F87"/>
  <c r="AAG88"/>
  <c r="G88" s="1"/>
  <c r="AAH246"/>
  <c r="H246" s="1"/>
  <c r="F246" s="1"/>
  <c r="F385"/>
  <c r="AAG388"/>
  <c r="G388" s="1"/>
  <c r="E273" l="1"/>
  <c r="F285"/>
  <c r="F284"/>
  <c r="AAG293"/>
  <c r="G293" s="1"/>
  <c r="F287"/>
  <c r="CG6"/>
  <c r="CG5" s="1"/>
  <c r="CF4"/>
  <c r="AAH88"/>
  <c r="H88" s="1"/>
  <c r="E88" s="1"/>
  <c r="E246"/>
  <c r="E233"/>
  <c r="AAH388"/>
  <c r="H388" s="1"/>
  <c r="F388" s="1"/>
  <c r="AAH293" l="1"/>
  <c r="H293" s="1"/>
  <c r="CH6"/>
  <c r="CH5" s="1"/>
  <c r="CG4"/>
  <c r="AAG90"/>
  <c r="G90" s="1"/>
  <c r="F88"/>
  <c r="E388"/>
  <c r="AAG294" l="1"/>
  <c r="G294" s="1"/>
  <c r="F293"/>
  <c r="E293"/>
  <c r="CI6"/>
  <c r="CI5" s="1"/>
  <c r="CH4"/>
  <c r="AAH90"/>
  <c r="H90" s="1"/>
  <c r="E90" s="1"/>
  <c r="G426"/>
  <c r="E294" l="1"/>
  <c r="AAH294"/>
  <c r="H294" s="1"/>
  <c r="CJ6"/>
  <c r="CJ5" s="1"/>
  <c r="CI4"/>
  <c r="AAG91"/>
  <c r="G91" s="1"/>
  <c r="F90"/>
  <c r="H426"/>
  <c r="F426" s="1"/>
  <c r="F294" l="1"/>
  <c r="AAG295"/>
  <c r="G295" s="1"/>
  <c r="CK6"/>
  <c r="CK5" s="1"/>
  <c r="CJ4"/>
  <c r="AAH91"/>
  <c r="H91" s="1"/>
  <c r="E91" s="1"/>
  <c r="E426"/>
  <c r="AAH295" l="1"/>
  <c r="H295" s="1"/>
  <c r="E295" s="1"/>
  <c r="CL6"/>
  <c r="CL5" s="1"/>
  <c r="CK4"/>
  <c r="F91"/>
  <c r="AAG92"/>
  <c r="G92" s="1"/>
  <c r="F295" l="1"/>
  <c r="AAG296"/>
  <c r="G296" s="1"/>
  <c r="H308"/>
  <c r="CM6"/>
  <c r="CM5" s="1"/>
  <c r="CL4"/>
  <c r="AAH92"/>
  <c r="H92" s="1"/>
  <c r="E92" s="1"/>
  <c r="AAH296" l="1"/>
  <c r="H296" s="1"/>
  <c r="F296" s="1"/>
  <c r="AAG306"/>
  <c r="AAH306"/>
  <c r="H306" s="1"/>
  <c r="F306" s="1"/>
  <c r="E308"/>
  <c r="F308"/>
  <c r="AAH309"/>
  <c r="H309" s="1"/>
  <c r="CN6"/>
  <c r="CN5" s="1"/>
  <c r="CM4"/>
  <c r="F92"/>
  <c r="AAG93"/>
  <c r="G93" s="1"/>
  <c r="E296" l="1"/>
  <c r="G306"/>
  <c r="E306" s="1"/>
  <c r="AAG307"/>
  <c r="G307" s="1"/>
  <c r="E309"/>
  <c r="F309"/>
  <c r="AAG310"/>
  <c r="G310" s="1"/>
  <c r="AAH310" s="1"/>
  <c r="H310" s="1"/>
  <c r="CO6"/>
  <c r="CO5" s="1"/>
  <c r="CN4"/>
  <c r="AAH93"/>
  <c r="H93" s="1"/>
  <c r="E93" s="1"/>
  <c r="AAH307" l="1"/>
  <c r="H307" s="1"/>
  <c r="F307" s="1"/>
  <c r="AAH304"/>
  <c r="H304" s="1"/>
  <c r="F304" s="1"/>
  <c r="E310"/>
  <c r="F310"/>
  <c r="CP6"/>
  <c r="CP5" s="1"/>
  <c r="CO4"/>
  <c r="F93"/>
  <c r="AAG96"/>
  <c r="G96" s="1"/>
  <c r="E307" l="1"/>
  <c r="H311"/>
  <c r="F311" s="1"/>
  <c r="CQ6"/>
  <c r="CQ5" s="1"/>
  <c r="CP4"/>
  <c r="AAH96"/>
  <c r="H96" s="1"/>
  <c r="E96" s="1"/>
  <c r="E311" l="1"/>
  <c r="CR6"/>
  <c r="CR5" s="1"/>
  <c r="CQ4"/>
  <c r="AAG97"/>
  <c r="G97" s="1"/>
  <c r="F96"/>
  <c r="CS6" l="1"/>
  <c r="CS5" s="1"/>
  <c r="CR4"/>
  <c r="AAH97"/>
  <c r="H97" s="1"/>
  <c r="E97" s="1"/>
  <c r="CT6" l="1"/>
  <c r="CT5" s="1"/>
  <c r="CS4"/>
  <c r="AAG98"/>
  <c r="G98" s="1"/>
  <c r="AAH98" s="1"/>
  <c r="H98" s="1"/>
  <c r="F97"/>
  <c r="CU6" l="1"/>
  <c r="CU5" s="1"/>
  <c r="CT4"/>
  <c r="F98"/>
  <c r="AAG99"/>
  <c r="G99" s="1"/>
  <c r="CV6" l="1"/>
  <c r="CV5" s="1"/>
  <c r="CU4"/>
  <c r="AAH99"/>
  <c r="H99" s="1"/>
  <c r="E99" s="1"/>
  <c r="CW6" l="1"/>
  <c r="CW5" s="1"/>
  <c r="CV4"/>
  <c r="AAG100"/>
  <c r="G100" s="1"/>
  <c r="AAH100" s="1"/>
  <c r="H100" s="1"/>
  <c r="F99"/>
  <c r="CX6" l="1"/>
  <c r="CX5" s="1"/>
  <c r="CW4"/>
  <c r="F100"/>
  <c r="AAG101"/>
  <c r="G101" s="1"/>
  <c r="CY6" l="1"/>
  <c r="CY5" s="1"/>
  <c r="CX4"/>
  <c r="AAH101"/>
  <c r="H101" s="1"/>
  <c r="E101" s="1"/>
  <c r="CZ6" l="1"/>
  <c r="CZ5" s="1"/>
  <c r="CY4"/>
  <c r="AAG102"/>
  <c r="G102" s="1"/>
  <c r="F101"/>
  <c r="DA6" l="1"/>
  <c r="DA5" s="1"/>
  <c r="CZ4"/>
  <c r="AAH102"/>
  <c r="H102" s="1"/>
  <c r="E102" s="1"/>
  <c r="DB6" l="1"/>
  <c r="DB5" s="1"/>
  <c r="DA4"/>
  <c r="AAG103"/>
  <c r="G103" s="1"/>
  <c r="F102"/>
  <c r="DC6" l="1"/>
  <c r="DC5" s="1"/>
  <c r="DB4"/>
  <c r="AAH103"/>
  <c r="H103" s="1"/>
  <c r="E103" s="1"/>
  <c r="DD6" l="1"/>
  <c r="DD5" s="1"/>
  <c r="DC4"/>
  <c r="AAG104"/>
  <c r="G104" s="1"/>
  <c r="F103"/>
  <c r="DE6" l="1"/>
  <c r="DE5" s="1"/>
  <c r="DD4"/>
  <c r="AAH104"/>
  <c r="H104" s="1"/>
  <c r="E104" s="1"/>
  <c r="DF6" l="1"/>
  <c r="DF5" s="1"/>
  <c r="DE4"/>
  <c r="AAG107"/>
  <c r="G107" s="1"/>
  <c r="AAG105"/>
  <c r="G105" s="1"/>
  <c r="F104"/>
  <c r="DG6" l="1"/>
  <c r="DG5" s="1"/>
  <c r="DF4"/>
  <c r="AAH107"/>
  <c r="H107" s="1"/>
  <c r="E107" s="1"/>
  <c r="AAH105"/>
  <c r="H105" s="1"/>
  <c r="F105" s="1"/>
  <c r="DH6" l="1"/>
  <c r="DH5" s="1"/>
  <c r="DG4"/>
  <c r="E105"/>
  <c r="AAG109"/>
  <c r="G109" s="1"/>
  <c r="F107"/>
  <c r="DI6" l="1"/>
  <c r="DI5" s="1"/>
  <c r="DH4"/>
  <c r="AAH109"/>
  <c r="H109" s="1"/>
  <c r="E109" s="1"/>
  <c r="DJ6" l="1"/>
  <c r="DJ5" s="1"/>
  <c r="DI4"/>
  <c r="AAG110"/>
  <c r="G110" s="1"/>
  <c r="F109"/>
  <c r="DK6" l="1"/>
  <c r="DK5" s="1"/>
  <c r="DJ4"/>
  <c r="AAH110"/>
  <c r="H110" s="1"/>
  <c r="E110" s="1"/>
  <c r="DL6" l="1"/>
  <c r="DL5" s="1"/>
  <c r="DK4"/>
  <c r="AAG111"/>
  <c r="G111" s="1"/>
  <c r="F110"/>
  <c r="DM6" l="1"/>
  <c r="DM5" s="1"/>
  <c r="DL4"/>
  <c r="AAH111"/>
  <c r="H111" s="1"/>
  <c r="E111" s="1"/>
  <c r="DN6" l="1"/>
  <c r="DN5" s="1"/>
  <c r="DM4"/>
  <c r="AAG112"/>
  <c r="G112" s="1"/>
  <c r="F111"/>
  <c r="DO6" l="1"/>
  <c r="DO5" s="1"/>
  <c r="DN4"/>
  <c r="AAH112"/>
  <c r="H112" s="1"/>
  <c r="E112" s="1"/>
  <c r="DP6" l="1"/>
  <c r="DP5" s="1"/>
  <c r="DO4"/>
  <c r="AAG113"/>
  <c r="G113" s="1"/>
  <c r="F112"/>
  <c r="DQ6" l="1"/>
  <c r="DQ5" s="1"/>
  <c r="DP4"/>
  <c r="AAH113"/>
  <c r="H113" s="1"/>
  <c r="E113" s="1"/>
  <c r="DR6" l="1"/>
  <c r="DR5" s="1"/>
  <c r="DQ4"/>
  <c r="AAG115"/>
  <c r="G115" s="1"/>
  <c r="F113"/>
  <c r="DS6" l="1"/>
  <c r="DS5" s="1"/>
  <c r="DR4"/>
  <c r="AAH115"/>
  <c r="H115" s="1"/>
  <c r="E115" s="1"/>
  <c r="DT6" l="1"/>
  <c r="DT5" s="1"/>
  <c r="DS4"/>
  <c r="AAG116"/>
  <c r="G116" s="1"/>
  <c r="F115"/>
  <c r="DU6" l="1"/>
  <c r="DU5" s="1"/>
  <c r="DT4"/>
  <c r="AAH116"/>
  <c r="H116" s="1"/>
  <c r="E116" s="1"/>
  <c r="DV6" l="1"/>
  <c r="DV5" s="1"/>
  <c r="DU4"/>
  <c r="AAG117"/>
  <c r="G117" s="1"/>
  <c r="F116"/>
  <c r="DW6" l="1"/>
  <c r="DW5" s="1"/>
  <c r="DV4"/>
  <c r="AAH117"/>
  <c r="H117" s="1"/>
  <c r="E117" s="1"/>
  <c r="DX6" l="1"/>
  <c r="DX5" s="1"/>
  <c r="DW4"/>
  <c r="AAG118"/>
  <c r="G118" s="1"/>
  <c r="F117"/>
  <c r="DY6" l="1"/>
  <c r="DY5" s="1"/>
  <c r="DX4"/>
  <c r="AAH118"/>
  <c r="H118" s="1"/>
  <c r="E118" s="1"/>
  <c r="DZ6" l="1"/>
  <c r="DZ5" s="1"/>
  <c r="DY4"/>
  <c r="AAG120"/>
  <c r="G120" s="1"/>
  <c r="F118"/>
  <c r="EA6" l="1"/>
  <c r="EA5" s="1"/>
  <c r="DZ4"/>
  <c r="AAH120"/>
  <c r="H120" s="1"/>
  <c r="E120" s="1"/>
  <c r="EB6" l="1"/>
  <c r="EB5" s="1"/>
  <c r="EA4"/>
  <c r="AAG122"/>
  <c r="G122" s="1"/>
  <c r="F120"/>
  <c r="EC6" l="1"/>
  <c r="EC5" s="1"/>
  <c r="EB4"/>
  <c r="AAH122"/>
  <c r="H122" s="1"/>
  <c r="E122" s="1"/>
  <c r="ED6" l="1"/>
  <c r="ED5" s="1"/>
  <c r="EC4"/>
  <c r="AAG123"/>
  <c r="G123" s="1"/>
  <c r="F122"/>
  <c r="EE6" l="1"/>
  <c r="EE5" s="1"/>
  <c r="ED4"/>
  <c r="AAH123"/>
  <c r="H123" s="1"/>
  <c r="E123" s="1"/>
  <c r="EF6" l="1"/>
  <c r="EF5" s="1"/>
  <c r="EE4"/>
  <c r="AAG124"/>
  <c r="G124" s="1"/>
  <c r="F123"/>
  <c r="EG6" l="1"/>
  <c r="EG5" s="1"/>
  <c r="EF4"/>
  <c r="AAH124"/>
  <c r="H124" s="1"/>
  <c r="E124" s="1"/>
  <c r="EH6" l="1"/>
  <c r="EH5" s="1"/>
  <c r="EG4"/>
  <c r="AAG127"/>
  <c r="G127" s="1"/>
  <c r="AAG125"/>
  <c r="G125" s="1"/>
  <c r="F124"/>
  <c r="EI6" l="1"/>
  <c r="EI5" s="1"/>
  <c r="EH4"/>
  <c r="AAH127"/>
  <c r="H127" s="1"/>
  <c r="E127" s="1"/>
  <c r="AAH125"/>
  <c r="H125" s="1"/>
  <c r="F125" s="1"/>
  <c r="EJ6" l="1"/>
  <c r="EJ5" s="1"/>
  <c r="EI4"/>
  <c r="E125"/>
  <c r="AAG129"/>
  <c r="G129" s="1"/>
  <c r="F127"/>
  <c r="EK6" l="1"/>
  <c r="EK5" s="1"/>
  <c r="EJ4"/>
  <c r="AAH129"/>
  <c r="H129" s="1"/>
  <c r="E129" s="1"/>
  <c r="EL6" l="1"/>
  <c r="EL5" s="1"/>
  <c r="EK4"/>
  <c r="F129"/>
  <c r="AAG130"/>
  <c r="G130" s="1"/>
  <c r="EM6" l="1"/>
  <c r="EM5" s="1"/>
  <c r="EL4"/>
  <c r="AAH130"/>
  <c r="H130" s="1"/>
  <c r="E130" s="1"/>
  <c r="EN6" l="1"/>
  <c r="EN5" s="1"/>
  <c r="EM4"/>
  <c r="AAG131"/>
  <c r="G131" s="1"/>
  <c r="F130"/>
  <c r="EO6" l="1"/>
  <c r="EO5" s="1"/>
  <c r="EN4"/>
  <c r="AAH131"/>
  <c r="H131" s="1"/>
  <c r="E131" s="1"/>
  <c r="EP6" l="1"/>
  <c r="EP5" s="1"/>
  <c r="EO4"/>
  <c r="AAG132"/>
  <c r="G132" s="1"/>
  <c r="F131"/>
  <c r="EQ6" l="1"/>
  <c r="EQ5" s="1"/>
  <c r="EP4"/>
  <c r="AAH132"/>
  <c r="H132" s="1"/>
  <c r="E132" s="1"/>
  <c r="ER6" l="1"/>
  <c r="ER5" s="1"/>
  <c r="EQ4"/>
  <c r="AAG133"/>
  <c r="G133" s="1"/>
  <c r="F132"/>
  <c r="ES6" l="1"/>
  <c r="ES5" s="1"/>
  <c r="ER4"/>
  <c r="AAH133"/>
  <c r="H133" s="1"/>
  <c r="E133" s="1"/>
  <c r="ET6" l="1"/>
  <c r="ET5" s="1"/>
  <c r="ES4"/>
  <c r="AAG135"/>
  <c r="G135" s="1"/>
  <c r="F133"/>
  <c r="EU6" l="1"/>
  <c r="EU5" s="1"/>
  <c r="ET4"/>
  <c r="AAH135"/>
  <c r="H135" s="1"/>
  <c r="E135" s="1"/>
  <c r="EV6" l="1"/>
  <c r="EV5" s="1"/>
  <c r="EU4"/>
  <c r="AAG136"/>
  <c r="G136" s="1"/>
  <c r="F135"/>
  <c r="EW6" l="1"/>
  <c r="EW5" s="1"/>
  <c r="EV4"/>
  <c r="AAH136"/>
  <c r="H136" s="1"/>
  <c r="E136" s="1"/>
  <c r="EX6" l="1"/>
  <c r="EX5" s="1"/>
  <c r="EW4"/>
  <c r="AAG137"/>
  <c r="G137" s="1"/>
  <c r="F136"/>
  <c r="EY6" l="1"/>
  <c r="EY5" s="1"/>
  <c r="EX4"/>
  <c r="AAH137"/>
  <c r="H137" s="1"/>
  <c r="E137" s="1"/>
  <c r="EZ6" l="1"/>
  <c r="EZ5" s="1"/>
  <c r="EY4"/>
  <c r="AAG138"/>
  <c r="G138" s="1"/>
  <c r="F137"/>
  <c r="FA6" l="1"/>
  <c r="FA5" s="1"/>
  <c r="EZ4"/>
  <c r="AAH138"/>
  <c r="H138" s="1"/>
  <c r="E138" s="1"/>
  <c r="FB6" l="1"/>
  <c r="FB5" s="1"/>
  <c r="FA4"/>
  <c r="AAG140"/>
  <c r="G140" s="1"/>
  <c r="F138"/>
  <c r="FC6" l="1"/>
  <c r="FC5" s="1"/>
  <c r="FB4"/>
  <c r="AAH140"/>
  <c r="H140" s="1"/>
  <c r="E140" s="1"/>
  <c r="FD6" l="1"/>
  <c r="FD5" s="1"/>
  <c r="FC4"/>
  <c r="AAG142"/>
  <c r="G142" s="1"/>
  <c r="F140"/>
  <c r="FE6" l="1"/>
  <c r="FE5" s="1"/>
  <c r="FD4"/>
  <c r="AAH142"/>
  <c r="H142" s="1"/>
  <c r="E142" s="1"/>
  <c r="FF6" l="1"/>
  <c r="FF5" s="1"/>
  <c r="FE4"/>
  <c r="AAG143"/>
  <c r="G143" s="1"/>
  <c r="F142"/>
  <c r="FG6" l="1"/>
  <c r="FG5" s="1"/>
  <c r="FF4"/>
  <c r="AAH143"/>
  <c r="H143" s="1"/>
  <c r="E143" s="1"/>
  <c r="FH6" l="1"/>
  <c r="FH5" s="1"/>
  <c r="FG4"/>
  <c r="AAG144"/>
  <c r="G144" s="1"/>
  <c r="F143"/>
  <c r="FI6" l="1"/>
  <c r="FI5" s="1"/>
  <c r="FH4"/>
  <c r="AAH144"/>
  <c r="H144" s="1"/>
  <c r="E144" s="1"/>
  <c r="FJ6" l="1"/>
  <c r="FJ5" s="1"/>
  <c r="FI4"/>
  <c r="AAG147"/>
  <c r="G147" s="1"/>
  <c r="F144"/>
  <c r="AAG145"/>
  <c r="G145" s="1"/>
  <c r="FK6" l="1"/>
  <c r="FK5" s="1"/>
  <c r="FJ4"/>
  <c r="AAH145"/>
  <c r="H145" s="1"/>
  <c r="F145" s="1"/>
  <c r="AAH147"/>
  <c r="H147" s="1"/>
  <c r="E147" s="1"/>
  <c r="FL6" l="1"/>
  <c r="FL5" s="1"/>
  <c r="FK4"/>
  <c r="E145"/>
  <c r="AAG149"/>
  <c r="G149" s="1"/>
  <c r="F147"/>
  <c r="FM6" l="1"/>
  <c r="FM5" s="1"/>
  <c r="FL4"/>
  <c r="AAH149"/>
  <c r="H149" s="1"/>
  <c r="E149" s="1"/>
  <c r="FN6" l="1"/>
  <c r="FN5" s="1"/>
  <c r="FM4"/>
  <c r="F149"/>
  <c r="AAG150"/>
  <c r="G150" s="1"/>
  <c r="FO6" l="1"/>
  <c r="FO5" s="1"/>
  <c r="FN4"/>
  <c r="AAH150"/>
  <c r="H150" s="1"/>
  <c r="E150" s="1"/>
  <c r="FP6" l="1"/>
  <c r="FP5" s="1"/>
  <c r="FO4"/>
  <c r="AAG151"/>
  <c r="G151" s="1"/>
  <c r="F150"/>
  <c r="FQ6" l="1"/>
  <c r="FQ5" s="1"/>
  <c r="FP4"/>
  <c r="AAH151"/>
  <c r="H151" s="1"/>
  <c r="E151" s="1"/>
  <c r="FR6" l="1"/>
  <c r="FR5" s="1"/>
  <c r="FQ4"/>
  <c r="AAG152"/>
  <c r="G152" s="1"/>
  <c r="F151"/>
  <c r="FS6" l="1"/>
  <c r="FS5" s="1"/>
  <c r="FR4"/>
  <c r="AAH152"/>
  <c r="H152" s="1"/>
  <c r="E152" s="1"/>
  <c r="FT6" l="1"/>
  <c r="FT5" s="1"/>
  <c r="FS4"/>
  <c r="AAG153"/>
  <c r="G153" s="1"/>
  <c r="F152"/>
  <c r="FU6" l="1"/>
  <c r="FU5" s="1"/>
  <c r="FT4"/>
  <c r="AAH153"/>
  <c r="H153" s="1"/>
  <c r="E153" s="1"/>
  <c r="FV6" l="1"/>
  <c r="FV5" s="1"/>
  <c r="FU4"/>
  <c r="AAG155"/>
  <c r="G155" s="1"/>
  <c r="F153"/>
  <c r="FW6" l="1"/>
  <c r="FW5" s="1"/>
  <c r="FV4"/>
  <c r="AAH155"/>
  <c r="H155" s="1"/>
  <c r="E155" s="1"/>
  <c r="FX6" l="1"/>
  <c r="FX5" s="1"/>
  <c r="FW4"/>
  <c r="AAG156"/>
  <c r="G156" s="1"/>
  <c r="F155"/>
  <c r="FY6" l="1"/>
  <c r="FY5" s="1"/>
  <c r="FX4"/>
  <c r="AAH156"/>
  <c r="H156" s="1"/>
  <c r="E156" s="1"/>
  <c r="FZ6" l="1"/>
  <c r="FZ5" s="1"/>
  <c r="FY4"/>
  <c r="AAG157"/>
  <c r="G157" s="1"/>
  <c r="F156"/>
  <c r="GA6" l="1"/>
  <c r="GA5" s="1"/>
  <c r="FZ4"/>
  <c r="AAH157"/>
  <c r="H157" s="1"/>
  <c r="E157" s="1"/>
  <c r="GB6" l="1"/>
  <c r="GB5" s="1"/>
  <c r="GA4"/>
  <c r="AAG158"/>
  <c r="G158" s="1"/>
  <c r="F157"/>
  <c r="GC6" l="1"/>
  <c r="GC5" s="1"/>
  <c r="GB4"/>
  <c r="AAH158"/>
  <c r="H158" s="1"/>
  <c r="E158" s="1"/>
  <c r="GD6" l="1"/>
  <c r="GD5" s="1"/>
  <c r="GC4"/>
  <c r="AAG160"/>
  <c r="G160" s="1"/>
  <c r="F158"/>
  <c r="GE6" l="1"/>
  <c r="GE5" s="1"/>
  <c r="GD4"/>
  <c r="AAH160"/>
  <c r="H160" s="1"/>
  <c r="E160" s="1"/>
  <c r="GF6" l="1"/>
  <c r="GF5" s="1"/>
  <c r="GE4"/>
  <c r="AAG162"/>
  <c r="G162" s="1"/>
  <c r="F160"/>
  <c r="GG6" l="1"/>
  <c r="GG5" s="1"/>
  <c r="GF4"/>
  <c r="AAH162"/>
  <c r="H162" s="1"/>
  <c r="E162" s="1"/>
  <c r="GH6" l="1"/>
  <c r="GH5" s="1"/>
  <c r="GG4"/>
  <c r="AAG163"/>
  <c r="G163" s="1"/>
  <c r="F162"/>
  <c r="GI6" l="1"/>
  <c r="GI5" s="1"/>
  <c r="GH4"/>
  <c r="AAH163"/>
  <c r="H163" s="1"/>
  <c r="E163" s="1"/>
  <c r="GJ6" l="1"/>
  <c r="GJ5" s="1"/>
  <c r="GI4"/>
  <c r="AAG164"/>
  <c r="G164" s="1"/>
  <c r="F163"/>
  <c r="GK6" l="1"/>
  <c r="GK5" s="1"/>
  <c r="GJ4"/>
  <c r="AAH164"/>
  <c r="H164" s="1"/>
  <c r="E164" s="1"/>
  <c r="GL6" l="1"/>
  <c r="GL5" s="1"/>
  <c r="GK4"/>
  <c r="AAG167"/>
  <c r="G167" s="1"/>
  <c r="AAG165"/>
  <c r="G165" s="1"/>
  <c r="F164"/>
  <c r="GM6" l="1"/>
  <c r="GM5" s="1"/>
  <c r="GL4"/>
  <c r="AAH167"/>
  <c r="H167" s="1"/>
  <c r="E167" s="1"/>
  <c r="AAH165"/>
  <c r="H165" s="1"/>
  <c r="F165" s="1"/>
  <c r="GN6" l="1"/>
  <c r="GN5" s="1"/>
  <c r="GM4"/>
  <c r="E165"/>
  <c r="AAG169"/>
  <c r="G169" s="1"/>
  <c r="F167"/>
  <c r="GO6" l="1"/>
  <c r="GO5" s="1"/>
  <c r="GN4"/>
  <c r="AAH169"/>
  <c r="H169" s="1"/>
  <c r="E169" s="1"/>
  <c r="GP6" l="1"/>
  <c r="GP5" s="1"/>
  <c r="GO4"/>
  <c r="F169"/>
  <c r="AAG170"/>
  <c r="G170" s="1"/>
  <c r="GQ6" l="1"/>
  <c r="GQ5" s="1"/>
  <c r="GP4"/>
  <c r="AAH170"/>
  <c r="H170" s="1"/>
  <c r="E170" s="1"/>
  <c r="GR6" l="1"/>
  <c r="GR5" s="1"/>
  <c r="GQ4"/>
  <c r="AAG171"/>
  <c r="G171" s="1"/>
  <c r="F170"/>
  <c r="GS6" l="1"/>
  <c r="GS5" s="1"/>
  <c r="GR4"/>
  <c r="AAH171"/>
  <c r="H171" s="1"/>
  <c r="E171" s="1"/>
  <c r="GT6" l="1"/>
  <c r="GT5" s="1"/>
  <c r="GS4"/>
  <c r="AAG172"/>
  <c r="G172" s="1"/>
  <c r="F171"/>
  <c r="GU6" l="1"/>
  <c r="GU5" s="1"/>
  <c r="GT4"/>
  <c r="AAH172"/>
  <c r="H172" s="1"/>
  <c r="E172" s="1"/>
  <c r="GV6" l="1"/>
  <c r="GV5" s="1"/>
  <c r="GU4"/>
  <c r="AAG173"/>
  <c r="G173" s="1"/>
  <c r="F172"/>
  <c r="GW6" l="1"/>
  <c r="GW5" s="1"/>
  <c r="GV4"/>
  <c r="AAH173"/>
  <c r="H173" s="1"/>
  <c r="E173" s="1"/>
  <c r="GX6" l="1"/>
  <c r="GX5" s="1"/>
  <c r="GW4"/>
  <c r="AAG175"/>
  <c r="G175" s="1"/>
  <c r="F173"/>
  <c r="GY6" l="1"/>
  <c r="GY5" s="1"/>
  <c r="GX4"/>
  <c r="AAH175"/>
  <c r="H175" s="1"/>
  <c r="E175" s="1"/>
  <c r="GZ6" l="1"/>
  <c r="GZ5" s="1"/>
  <c r="GY4"/>
  <c r="AAG176"/>
  <c r="G176" s="1"/>
  <c r="F175"/>
  <c r="HA6" l="1"/>
  <c r="HA5" s="1"/>
  <c r="GZ4"/>
  <c r="AAH176"/>
  <c r="H176" s="1"/>
  <c r="E176" s="1"/>
  <c r="HB6" l="1"/>
  <c r="HB5" s="1"/>
  <c r="HA4"/>
  <c r="AAG177"/>
  <c r="G177" s="1"/>
  <c r="F176"/>
  <c r="HC6" l="1"/>
  <c r="HC5" s="1"/>
  <c r="HB4"/>
  <c r="AAH177"/>
  <c r="H177" s="1"/>
  <c r="E177" s="1"/>
  <c r="HD6" l="1"/>
  <c r="HD5" s="1"/>
  <c r="HC4"/>
  <c r="AAG178"/>
  <c r="G178" s="1"/>
  <c r="F177"/>
  <c r="HE6" l="1"/>
  <c r="HE5" s="1"/>
  <c r="HD4"/>
  <c r="AAH178"/>
  <c r="H178" s="1"/>
  <c r="E178" s="1"/>
  <c r="HF6" l="1"/>
  <c r="HF5" s="1"/>
  <c r="HE4"/>
  <c r="AAG180"/>
  <c r="G180" s="1"/>
  <c r="F178"/>
  <c r="HG6" l="1"/>
  <c r="HG5" s="1"/>
  <c r="HF4"/>
  <c r="AAH180"/>
  <c r="H180" s="1"/>
  <c r="E180" s="1"/>
  <c r="HH6" l="1"/>
  <c r="HH5" s="1"/>
  <c r="HG4"/>
  <c r="AAG182"/>
  <c r="G182" s="1"/>
  <c r="F180"/>
  <c r="HI6" l="1"/>
  <c r="HI5" s="1"/>
  <c r="HH4"/>
  <c r="AAH182"/>
  <c r="H182" s="1"/>
  <c r="E182" s="1"/>
  <c r="HJ6" l="1"/>
  <c r="HJ5" s="1"/>
  <c r="HI4"/>
  <c r="AAG183"/>
  <c r="G183" s="1"/>
  <c r="F182"/>
  <c r="HK6" l="1"/>
  <c r="HK5" s="1"/>
  <c r="HJ4"/>
  <c r="AAH183"/>
  <c r="H183" s="1"/>
  <c r="E183" s="1"/>
  <c r="HL6" l="1"/>
  <c r="HL5" s="1"/>
  <c r="HK4"/>
  <c r="AAG184"/>
  <c r="G184" s="1"/>
  <c r="F183"/>
  <c r="HM6" l="1"/>
  <c r="HM5" s="1"/>
  <c r="HL4"/>
  <c r="AAH184"/>
  <c r="H184" s="1"/>
  <c r="E184" s="1"/>
  <c r="HN6" l="1"/>
  <c r="HN5" s="1"/>
  <c r="HM4"/>
  <c r="AAG187"/>
  <c r="G187" s="1"/>
  <c r="F184"/>
  <c r="AAG185"/>
  <c r="G185" s="1"/>
  <c r="HO6" l="1"/>
  <c r="HO5" s="1"/>
  <c r="HN4"/>
  <c r="AAH185"/>
  <c r="H185" s="1"/>
  <c r="F185" s="1"/>
  <c r="AAH187"/>
  <c r="H187" s="1"/>
  <c r="E187" s="1"/>
  <c r="HP6" l="1"/>
  <c r="HP5" s="1"/>
  <c r="HO4"/>
  <c r="E185"/>
  <c r="AAG189"/>
  <c r="G189" s="1"/>
  <c r="F187"/>
  <c r="HQ6" l="1"/>
  <c r="HQ5" s="1"/>
  <c r="HP4"/>
  <c r="AAH189"/>
  <c r="H189" s="1"/>
  <c r="E189" s="1"/>
  <c r="HR6" l="1"/>
  <c r="HR5" s="1"/>
  <c r="HQ4"/>
  <c r="F189"/>
  <c r="AAG190"/>
  <c r="G190" s="1"/>
  <c r="HS6" l="1"/>
  <c r="HS5" s="1"/>
  <c r="HR4"/>
  <c r="AAH190"/>
  <c r="H190" s="1"/>
  <c r="E190" s="1"/>
  <c r="HT6" l="1"/>
  <c r="HT5" s="1"/>
  <c r="HS4"/>
  <c r="AAG191"/>
  <c r="G191" s="1"/>
  <c r="F190"/>
  <c r="HU6" l="1"/>
  <c r="HU5" s="1"/>
  <c r="HT4"/>
  <c r="AAH191"/>
  <c r="H191" s="1"/>
  <c r="E191" s="1"/>
  <c r="HV6" l="1"/>
  <c r="HV5" s="1"/>
  <c r="HU4"/>
  <c r="AAG192"/>
  <c r="G192" s="1"/>
  <c r="F191"/>
  <c r="HW6" l="1"/>
  <c r="HW5" s="1"/>
  <c r="HV4"/>
  <c r="AAH192"/>
  <c r="H192" s="1"/>
  <c r="E192" s="1"/>
  <c r="HX6" l="1"/>
  <c r="HX5" s="1"/>
  <c r="HW4"/>
  <c r="AAG193"/>
  <c r="G193" s="1"/>
  <c r="F192"/>
  <c r="HY6" l="1"/>
  <c r="HY5" s="1"/>
  <c r="HX4"/>
  <c r="AAH193"/>
  <c r="H193" s="1"/>
  <c r="E193" s="1"/>
  <c r="HZ6" l="1"/>
  <c r="HZ5" s="1"/>
  <c r="HY4"/>
  <c r="AAG195"/>
  <c r="G195" s="1"/>
  <c r="F193"/>
  <c r="IA6" l="1"/>
  <c r="IA5" s="1"/>
  <c r="HZ4"/>
  <c r="AAH195"/>
  <c r="H195" s="1"/>
  <c r="E195" s="1"/>
  <c r="IB6" l="1"/>
  <c r="IB5" s="1"/>
  <c r="IA4"/>
  <c r="AAG196"/>
  <c r="G196" s="1"/>
  <c r="F195"/>
  <c r="IC6" l="1"/>
  <c r="IC5" s="1"/>
  <c r="IB4"/>
  <c r="AAH196"/>
  <c r="H196" s="1"/>
  <c r="E196" s="1"/>
  <c r="ID6" l="1"/>
  <c r="ID5" s="1"/>
  <c r="IC4"/>
  <c r="AAG197"/>
  <c r="G197" s="1"/>
  <c r="F196"/>
  <c r="IE6" l="1"/>
  <c r="IE5" s="1"/>
  <c r="ID4"/>
  <c r="AAH197"/>
  <c r="H197" s="1"/>
  <c r="E197" s="1"/>
  <c r="IF6" l="1"/>
  <c r="IF5" s="1"/>
  <c r="IE4"/>
  <c r="AAG198"/>
  <c r="G198" s="1"/>
  <c r="F197"/>
  <c r="IG6" l="1"/>
  <c r="IG5" s="1"/>
  <c r="IF4"/>
  <c r="AAH198"/>
  <c r="H198" s="1"/>
  <c r="E198" s="1"/>
  <c r="IH6" l="1"/>
  <c r="IH5" s="1"/>
  <c r="IG4"/>
  <c r="AAG200"/>
  <c r="G200" s="1"/>
  <c r="F198"/>
  <c r="II6" l="1"/>
  <c r="II5" s="1"/>
  <c r="IH4"/>
  <c r="AAH200"/>
  <c r="H200" s="1"/>
  <c r="E200" s="1"/>
  <c r="IJ6" l="1"/>
  <c r="IJ5" s="1"/>
  <c r="II4"/>
  <c r="AAG202"/>
  <c r="G202" s="1"/>
  <c r="F200"/>
  <c r="IK6" l="1"/>
  <c r="IK5" s="1"/>
  <c r="IJ4"/>
  <c r="AAH202"/>
  <c r="H202" s="1"/>
  <c r="E202" s="1"/>
  <c r="IL6" l="1"/>
  <c r="IL5" s="1"/>
  <c r="IK4"/>
  <c r="AAG203"/>
  <c r="G203" s="1"/>
  <c r="F202"/>
  <c r="IM6" l="1"/>
  <c r="IM5" s="1"/>
  <c r="IL4"/>
  <c r="AAH203"/>
  <c r="H203" s="1"/>
  <c r="E203" s="1"/>
  <c r="IN6" l="1"/>
  <c r="IN5" s="1"/>
  <c r="IM4"/>
  <c r="AAG204"/>
  <c r="G204" s="1"/>
  <c r="F203"/>
  <c r="IO6" l="1"/>
  <c r="IO5" s="1"/>
  <c r="IN4"/>
  <c r="AAH204"/>
  <c r="H204" s="1"/>
  <c r="E204" s="1"/>
  <c r="IP6" l="1"/>
  <c r="IP5" s="1"/>
  <c r="IO4"/>
  <c r="AAG205"/>
  <c r="G205" s="1"/>
  <c r="F204"/>
  <c r="IQ6" l="1"/>
  <c r="IQ5" s="1"/>
  <c r="IP4"/>
  <c r="AAH205"/>
  <c r="H205" s="1"/>
  <c r="F205" s="1"/>
  <c r="H6"/>
  <c r="IR6" l="1"/>
  <c r="IR5" s="1"/>
  <c r="IQ4"/>
  <c r="E205"/>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0"/>
  <c r="F210" s="1"/>
  <c r="AAG212" l="1"/>
  <c r="G212" s="1"/>
  <c r="AAG463"/>
  <c r="G463" s="1"/>
  <c r="E463" s="1"/>
  <c r="AAG213"/>
  <c r="G213" s="1"/>
  <c r="E213" s="1"/>
  <c r="AAG447"/>
  <c r="G447" s="1"/>
  <c r="E447" s="1"/>
  <c r="AAG218"/>
  <c r="G218" s="1"/>
  <c r="E218" s="1"/>
  <c r="AAH212" l="1"/>
  <c r="H212" s="1"/>
  <c r="F212" s="1"/>
  <c r="H305"/>
  <c r="F305" s="1"/>
  <c r="AAH300"/>
  <c r="H300" s="1"/>
  <c r="AAH303"/>
  <c r="H303" s="1"/>
  <c r="E212" l="1"/>
  <c r="F300"/>
  <c r="E300"/>
  <c r="F303"/>
  <c r="AAG305"/>
  <c r="G305" s="1"/>
  <c r="E305" s="1"/>
  <c r="AAG303"/>
  <c r="G303" s="1"/>
  <c r="E303" s="1"/>
  <c r="AAG304"/>
  <c r="G304" s="1"/>
  <c r="E304" s="1"/>
</calcChain>
</file>

<file path=xl/sharedStrings.xml><?xml version="1.0" encoding="utf-8"?>
<sst xmlns="http://schemas.openxmlformats.org/spreadsheetml/2006/main" count="1348" uniqueCount="388">
  <si>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</si>
  <si>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</si>
  <si>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</si>
  <si>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</si>
  <si>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</si>
  <si>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</si>
  <si>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</si>
  <si>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</si>
  <si>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</si>
  <si>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</si>
  <si>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</si>
  <si>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</si>
  <si>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</si>
  <si>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</si>
  <si>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</si>
  <si>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</si>
  <si>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</si>
  <si>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</si>
  <si>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</si>
  <si>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</si>
  <si>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</si>
  <si>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</si>
  <si>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</si>
  <si>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</si>
  <si>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</si>
  <si>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</si>
  <si>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</si>
  <si>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</si>
  <si>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</si>
  <si>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</si>
  <si>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</si>
  <si>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</si>
  <si>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</si>
  <si>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</si>
  <si>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</si>
  <si>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</si>
  <si>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</si>
  <si>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</si>
  <si>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</si>
  <si>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</si>
  <si>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</si>
  <si>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</si>
  <si>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</si>
  <si>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</si>
  <si>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</si>
  <si>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</si>
  <si>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</si>
  <si>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</si>
  <si>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</si>
  <si>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</si>
  <si>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</si>
  <si>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</si>
  <si>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</si>
  <si>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</si>
  <si>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</si>
  <si>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</si>
  <si>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</si>
  <si>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</si>
  <si>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</si>
  <si>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</si>
  <si>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</si>
  <si>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</si>
  <si>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</si>
  <si>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</si>
  <si>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</si>
  <si>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</si>
  <si>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</si>
  <si>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</si>
  <si>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</si>
  <si>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</si>
  <si>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</si>
  <si>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</si>
  <si>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</si>
  <si>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</si>
  <si>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</si>
  <si>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</si>
  <si>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</si>
  <si>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</si>
  <si>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</si>
  <si>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</si>
  <si>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</si>
  <si>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</si>
  <si>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</si>
  <si>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</si>
  <si>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</si>
  <si>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</si>
  <si>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</si>
  <si>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</si>
  <si>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</si>
  <si>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</si>
  <si>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</si>
  <si>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</si>
  <si>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</si>
  <si>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</si>
  <si>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</si>
  <si>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</si>
  <si>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</si>
  <si>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</si>
  <si>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</si>
  <si>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</si>
  <si>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</si>
  <si>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</si>
  <si>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</si>
  <si>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</si>
  <si>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</si>
  <si>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</si>
  <si>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</si>
  <si>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</si>
  <si>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</si>
  <si>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</si>
  <si>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</si>
  <si>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</si>
  <si>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</si>
  <si>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</si>
  <si>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</si>
  <si>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</si>
  <si>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</si>
  <si>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</si>
  <si>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</si>
  <si>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</si>
  <si>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</si>
  <si>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</si>
  <si>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</si>
  <si>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</si>
  <si>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</si>
  <si>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OCO</t>
  </si>
  <si>
    <t>Schedule of Tasks</t>
  </si>
  <si>
    <t>Add hearing dates to DEQ meeting calendar</t>
  </si>
  <si>
    <t>Statement of fiscal impact</t>
  </si>
  <si>
    <t>Observe Public Meeting Laws</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</si>
  <si>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</si>
  <si>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</si>
  <si>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</si>
  <si>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</si>
  <si>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</si>
  <si>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</si>
  <si>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</si>
  <si>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</si>
  <si>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</si>
  <si>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</si>
  <si>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</si>
  <si>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</si>
  <si>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</si>
  <si>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</si>
  <si>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</si>
  <si>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</si>
  <si>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</si>
  <si>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</si>
  <si>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</si>
  <si>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</si>
  <si>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</si>
  <si>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</si>
  <si>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</si>
  <si>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</si>
  <si>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</si>
  <si>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</si>
  <si>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</si>
  <si>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</si>
  <si>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</si>
  <si>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</si>
  <si>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</si>
  <si>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</si>
  <si>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</si>
  <si>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</si>
  <si>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</si>
  <si>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</si>
  <si>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</si>
  <si>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</si>
  <si>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</si>
  <si>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</si>
  <si>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</si>
  <si>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</si>
  <si>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</si>
  <si>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</si>
  <si>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</si>
  <si>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</si>
  <si>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</si>
  <si>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</si>
  <si>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</si>
  <si>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</si>
  <si>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</si>
  <si>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</si>
  <si>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DE, Fiscal, LM</t>
  </si>
  <si>
    <t>DE, Fiscal</t>
  </si>
  <si>
    <t>DT,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</si>
  <si>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</si>
  <si>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</si>
  <si>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</si>
  <si>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</si>
  <si>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</si>
  <si>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</si>
  <si>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</si>
  <si>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</si>
  <si>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</si>
  <si>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</si>
  <si>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</si>
  <si>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</si>
  <si>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</si>
  <si>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</si>
  <si>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</si>
  <si>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</si>
  <si>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</si>
  <si>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</si>
  <si>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</si>
  <si>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</si>
  <si>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</si>
  <si>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</si>
  <si>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</si>
  <si>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</si>
  <si>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</si>
  <si>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</si>
  <si>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</si>
  <si>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</si>
  <si>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</si>
  <si>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</si>
  <si>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</si>
  <si>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</si>
  <si>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</si>
  <si>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</si>
  <si>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</si>
  <si>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</si>
  <si>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</si>
  <si>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</si>
  <si>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</si>
  <si>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</si>
  <si>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</si>
  <si>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</si>
  <si>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</si>
  <si>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</si>
  <si>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</si>
  <si>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</si>
  <si>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</si>
  <si>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</si>
  <si>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</si>
  <si>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</si>
  <si>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</si>
  <si>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</si>
  <si>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</si>
  <si>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</si>
  <si>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</si>
  <si>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</si>
  <si>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</si>
  <si>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</si>
  <si>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</si>
  <si>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</si>
  <si>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</si>
  <si>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</si>
  <si>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</si>
  <si>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</si>
  <si>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</si>
  <si>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</si>
  <si>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</si>
  <si>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</si>
  <si>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</si>
  <si>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</si>
  <si>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</si>
  <si>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</si>
  <si>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</si>
  <si>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</si>
  <si>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</si>
  <si>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</si>
  <si>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</si>
  <si>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</si>
  <si>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</si>
  <si>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</si>
  <si>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</si>
  <si>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</si>
  <si>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</si>
  <si>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</si>
  <si>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</si>
  <si>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</si>
  <si>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</si>
  <si>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</si>
  <si>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</si>
  <si>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</si>
  <si>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</si>
  <si>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</si>
  <si>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</si>
  <si>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</si>
  <si>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</si>
  <si>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</si>
  <si>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</si>
  <si>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</si>
  <si>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</si>
  <si>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</si>
  <si>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</si>
  <si>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</si>
  <si>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</si>
  <si>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</si>
  <si>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</si>
  <si>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</si>
  <si>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</si>
  <si>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</si>
  <si>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</si>
  <si>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</si>
  <si>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</si>
  <si>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</si>
  <si>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</si>
  <si>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</si>
  <si>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</si>
  <si>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</si>
  <si>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</si>
  <si>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</si>
  <si>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</si>
  <si>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</si>
  <si>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</si>
  <si>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</si>
  <si>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</si>
  <si>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</si>
  <si>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</si>
  <si>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</si>
  <si>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</si>
  <si>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</si>
  <si>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</si>
  <si>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</si>
  <si>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</si>
  <si>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</si>
  <si>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</si>
  <si>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</si>
  <si>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</si>
  <si>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</si>
  <si>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</si>
  <si>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</si>
  <si>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</si>
  <si>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</si>
  <si>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</si>
  <si>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</si>
  <si>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</si>
  <si>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</si>
  <si>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</si>
  <si>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</si>
  <si>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</si>
  <si>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</si>
  <si>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</si>
  <si>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</si>
  <si>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</si>
  <si>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</si>
  <si>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</si>
  <si>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</si>
  <si>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</si>
  <si>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</si>
  <si>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</si>
  <si>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</si>
  <si>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\\deqhq1\Rule_Resources\Q-Cards\PDF\2-AdvisoryCommittee.pdf</t>
  </si>
  <si>
    <t>If approved, scan/file DAS.PART1.pdf</t>
  </si>
  <si>
    <t>GOV.DELIVERY.CONTENT"</t>
  </si>
  <si>
    <t>RULES.REDLINE</t>
  </si>
  <si>
    <t>Verify PROPOSED.RULES current compilation</t>
  </si>
  <si>
    <t>Expand Core Team</t>
  </si>
  <si>
    <t>Add rulemaking to work plans as needed</t>
  </si>
  <si>
    <t>∞</t>
  </si>
  <si>
    <t>Overview of main external work products</t>
  </si>
  <si>
    <t>Review committee requirements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</si>
  <si>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</si>
  <si>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</si>
  <si>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</si>
  <si>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</si>
  <si>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</si>
  <si>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</si>
  <si>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</si>
  <si>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</si>
  <si>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c. NOTICE</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</si>
  <si>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</si>
  <si>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</si>
  <si>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</si>
  <si>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</si>
  <si>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</si>
  <si>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</si>
  <si>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</si>
  <si>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</si>
  <si>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</si>
  <si>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</si>
  <si>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</si>
  <si>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</si>
  <si>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</si>
  <si>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</si>
  <si>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</si>
  <si>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</si>
  <si>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</si>
  <si>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</si>
  <si>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</si>
  <si>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</si>
  <si>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</si>
  <si>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</si>
  <si>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</si>
  <si>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</si>
  <si>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</si>
  <si>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Permit Fee Increase</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</si>
</sst>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sz val="16"/>
      <color rgb="FF396950"/>
      <name val="Calibri"/>
      <family val="2"/>
    </font>
    <font>
      <b/>
      <i/>
      <sz val="12"/>
      <color theme="5" tint="0.79998168889431442"/>
      <name val="Arial"/>
      <family val="2"/>
    </font>
    <font>
      <sz val="16"/>
      <color theme="4" tint="-0.499984740745262"/>
      <name val="Calibri"/>
      <family val="2"/>
    </font>
    <font>
      <u/>
      <sz val="16"/>
      <color theme="4" tint="-0.499984740745262"/>
      <name val="Calibri"/>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9">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7" fillId="2" borderId="0" xfId="0" applyNumberFormat="1" applyFont="1" applyFill="1" applyBorder="1" applyAlignment="1" applyProtection="1"/>
    <xf numFmtId="0" fontId="77"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2" fillId="0" borderId="0" xfId="0" applyFont="1" applyFill="1" applyBorder="1" applyAlignment="1" applyProtection="1"/>
    <xf numFmtId="164" fontId="82"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2"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5" fillId="0" borderId="0" xfId="0" applyFont="1" applyFill="1" applyBorder="1" applyAlignment="1" applyProtection="1"/>
    <xf numFmtId="164" fontId="95" fillId="0" borderId="0" xfId="0" applyFont="1" applyFill="1" applyBorder="1" applyAlignment="1" applyProtection="1">
      <alignment horizontal="right"/>
    </xf>
    <xf numFmtId="0" fontId="97"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3"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8" fillId="2" borderId="0" xfId="0" applyNumberFormat="1" applyFont="1" applyFill="1" applyBorder="1" applyAlignment="1" applyProtection="1">
      <alignment horizontal="left" wrapText="1"/>
    </xf>
    <xf numFmtId="164" fontId="82" fillId="2" borderId="0" xfId="0" applyFont="1" applyFill="1" applyBorder="1" applyAlignment="1" applyProtection="1"/>
    <xf numFmtId="164" fontId="73" fillId="2" borderId="0" xfId="0" applyFont="1" applyFill="1" applyBorder="1" applyAlignment="1" applyProtection="1"/>
    <xf numFmtId="0" fontId="100" fillId="0" borderId="0" xfId="0" applyNumberFormat="1" applyFont="1" applyBorder="1" applyAlignment="1" applyProtection="1">
      <alignment horizontal="center" vertical="center" wrapText="1"/>
    </xf>
    <xf numFmtId="0" fontId="100" fillId="0" borderId="0" xfId="0" applyNumberFormat="1" applyFont="1" applyBorder="1" applyAlignment="1" applyProtection="1">
      <alignment horizontal="left" wrapText="1"/>
    </xf>
    <xf numFmtId="1" fontId="101"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3" fillId="17" borderId="0" xfId="0" applyNumberFormat="1" applyFont="1" applyFill="1" applyBorder="1" applyAlignment="1" applyProtection="1">
      <alignment horizontal="left" vertical="center" wrapText="1"/>
    </xf>
    <xf numFmtId="168" fontId="104"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6"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6"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8"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9"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8"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8" fillId="2" borderId="0" xfId="0" applyNumberFormat="1" applyFont="1" applyFill="1" applyBorder="1" applyAlignment="1" applyProtection="1">
      <alignment horizontal="left" vertical="center" wrapText="1"/>
    </xf>
    <xf numFmtId="0" fontId="88" fillId="2" borderId="0" xfId="0" applyNumberFormat="1" applyFont="1" applyFill="1" applyBorder="1" applyAlignment="1" applyProtection="1">
      <alignment horizontal="center" vertical="center" wrapText="1"/>
    </xf>
    <xf numFmtId="166" fontId="88" fillId="2" borderId="0" xfId="0" applyNumberFormat="1" applyFont="1" applyFill="1" applyBorder="1" applyAlignment="1" applyProtection="1"/>
    <xf numFmtId="166" fontId="88"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9" fillId="26" borderId="0" xfId="1" applyFont="1" applyFill="1" applyBorder="1" applyAlignment="1" applyProtection="1">
      <alignment horizontal="left" vertical="center"/>
    </xf>
    <xf numFmtId="166" fontId="78" fillId="17" borderId="0" xfId="0" applyNumberFormat="1" applyFont="1" applyFill="1" applyBorder="1" applyAlignment="1" applyProtection="1">
      <alignment horizontal="right"/>
      <protection locked="0"/>
    </xf>
    <xf numFmtId="0" fontId="77" fillId="9" borderId="0" xfId="0" applyNumberFormat="1" applyFont="1" applyFill="1" applyBorder="1" applyAlignment="1" applyProtection="1">
      <alignment wrapText="1"/>
    </xf>
    <xf numFmtId="164" fontId="79" fillId="2" borderId="0" xfId="0" applyNumberFormat="1" applyFont="1" applyFill="1" applyBorder="1" applyAlignment="1" applyProtection="1">
      <alignment horizontal="left" vertical="center" wrapText="1" indent="2"/>
    </xf>
    <xf numFmtId="0" fontId="88" fillId="0" borderId="0" xfId="0" applyNumberFormat="1" applyFont="1" applyBorder="1" applyAlignment="1" applyProtection="1">
      <alignment horizontal="left" wrapText="1"/>
      <protection locked="0"/>
    </xf>
    <xf numFmtId="0" fontId="88" fillId="2" borderId="0" xfId="0" applyNumberFormat="1" applyFont="1" applyFill="1" applyBorder="1" applyAlignment="1" applyProtection="1">
      <alignment horizontal="left" wrapText="1"/>
      <protection locked="0"/>
    </xf>
    <xf numFmtId="164" fontId="88"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8"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2" fillId="0" borderId="0" xfId="0" applyFont="1" applyFill="1" applyBorder="1" applyAlignment="1" applyProtection="1"/>
    <xf numFmtId="0" fontId="79"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4"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7"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9" fillId="2" borderId="0" xfId="0" applyNumberFormat="1" applyFont="1" applyFill="1" applyBorder="1" applyAlignment="1" applyProtection="1">
      <alignment horizontal="right" vertical="center" wrapText="1"/>
    </xf>
    <xf numFmtId="0" fontId="99" fillId="9" borderId="0" xfId="1" applyNumberFormat="1" applyFont="1" applyFill="1" applyBorder="1" applyAlignment="1" applyProtection="1">
      <alignment horizontal="center" vertical="center" wrapText="1"/>
    </xf>
    <xf numFmtId="0" fontId="88"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100" fillId="0" borderId="0" xfId="0" applyNumberFormat="1" applyFont="1" applyBorder="1" applyAlignment="1" applyProtection="1">
      <alignment horizontal="left" vertical="center" wrapText="1"/>
    </xf>
    <xf numFmtId="166" fontId="101" fillId="0" borderId="0" xfId="0" applyNumberFormat="1" applyFont="1" applyBorder="1" applyAlignment="1" applyProtection="1"/>
    <xf numFmtId="166" fontId="88" fillId="20" borderId="0" xfId="0" applyNumberFormat="1" applyFont="1" applyFill="1" applyBorder="1" applyAlignment="1" applyProtection="1">
      <alignment horizontal="right"/>
    </xf>
    <xf numFmtId="0" fontId="102" fillId="17" borderId="0" xfId="0" applyNumberFormat="1" applyFont="1" applyFill="1" applyBorder="1" applyAlignment="1" applyProtection="1">
      <alignment horizontal="center"/>
    </xf>
    <xf numFmtId="166" fontId="78" fillId="7" borderId="0" xfId="0" applyNumberFormat="1" applyFont="1" applyFill="1" applyBorder="1" applyAlignment="1" applyProtection="1"/>
    <xf numFmtId="0" fontId="88" fillId="4" borderId="0" xfId="0" applyNumberFormat="1" applyFont="1" applyFill="1" applyBorder="1" applyAlignment="1" applyProtection="1">
      <protection locked="0"/>
    </xf>
    <xf numFmtId="0" fontId="79"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6"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6" fillId="2" borderId="11" xfId="0" applyNumberFormat="1" applyFont="1" applyFill="1" applyBorder="1" applyAlignment="1" applyProtection="1">
      <protection locked="0"/>
    </xf>
    <xf numFmtId="166" fontId="106"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3"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9" fillId="0" borderId="16" xfId="0" applyFont="1" applyBorder="1" applyAlignment="1"/>
    <xf numFmtId="1" fontId="36" fillId="10" borderId="2" xfId="0" applyNumberFormat="1" applyFont="1" applyFill="1" applyBorder="1"/>
    <xf numFmtId="166" fontId="110"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1" fillId="0" borderId="0" xfId="0" applyFont="1" applyFill="1" applyBorder="1" applyAlignment="1" applyProtection="1">
      <alignment horizontal="right"/>
    </xf>
    <xf numFmtId="164" fontId="113" fillId="0" borderId="0" xfId="0" applyFont="1" applyFill="1" applyBorder="1" applyAlignment="1" applyProtection="1">
      <alignment horizontal="right"/>
    </xf>
    <xf numFmtId="164" fontId="113"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6" fillId="2" borderId="0" xfId="0" applyNumberFormat="1" applyFont="1" applyFill="1" applyBorder="1" applyProtection="1"/>
    <xf numFmtId="168" fontId="106"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2"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6"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6" fillId="2" borderId="2" xfId="0" applyNumberFormat="1" applyFont="1" applyFill="1" applyBorder="1" applyAlignment="1" applyProtection="1">
      <protection locked="0"/>
    </xf>
    <xf numFmtId="0" fontId="88" fillId="0" borderId="0" xfId="0" quotePrefix="1" applyNumberFormat="1" applyFont="1" applyFill="1" applyBorder="1" applyAlignment="1" applyProtection="1">
      <alignment horizontal="left" wrapText="1"/>
      <protection locked="0"/>
    </xf>
    <xf numFmtId="0" fontId="88"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3" fillId="9" borderId="0" xfId="1" applyNumberFormat="1" applyFont="1" applyFill="1" applyBorder="1" applyAlignment="1" applyProtection="1">
      <alignment horizontal="left" vertical="center" wrapText="1" indent="3"/>
    </xf>
    <xf numFmtId="0" fontId="113" fillId="9" borderId="0" xfId="1" applyNumberFormat="1" applyFont="1" applyFill="1" applyBorder="1" applyAlignment="1" applyProtection="1">
      <alignment horizontal="left" vertical="center" wrapText="1" indent="4"/>
    </xf>
    <xf numFmtId="0" fontId="111"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8"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9"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1" fillId="9" borderId="0" xfId="0" applyNumberFormat="1" applyFont="1" applyFill="1" applyBorder="1" applyAlignment="1" applyProtection="1">
      <alignment horizontal="left" wrapText="1" indent="1"/>
    </xf>
    <xf numFmtId="0" fontId="122" fillId="9" borderId="0" xfId="0" applyNumberFormat="1" applyFont="1" applyFill="1" applyBorder="1" applyAlignment="1" applyProtection="1">
      <alignment horizontal="left" vertical="center" wrapText="1" indent="3"/>
    </xf>
    <xf numFmtId="0" fontId="122" fillId="9" borderId="0" xfId="1" applyNumberFormat="1" applyFont="1" applyFill="1" applyBorder="1" applyAlignment="1" applyProtection="1">
      <alignment horizontal="left" vertical="center" wrapText="1" indent="4"/>
    </xf>
    <xf numFmtId="0" fontId="122" fillId="9" borderId="0" xfId="1" applyNumberFormat="1" applyFont="1" applyFill="1" applyBorder="1" applyAlignment="1" applyProtection="1">
      <alignment horizontal="left" vertical="center" wrapText="1" indent="5"/>
    </xf>
    <xf numFmtId="0" fontId="122" fillId="9" borderId="0" xfId="1" applyNumberFormat="1" applyFont="1" applyFill="1" applyBorder="1" applyAlignment="1" applyProtection="1">
      <alignment horizontal="left" vertical="center" wrapText="1" indent="6"/>
    </xf>
    <xf numFmtId="0" fontId="122" fillId="9" borderId="0" xfId="1" applyNumberFormat="1" applyFont="1" applyFill="1" applyBorder="1" applyAlignment="1" applyProtection="1">
      <alignment horizontal="left" vertical="center" wrapText="1" indent="7"/>
    </xf>
    <xf numFmtId="0" fontId="121"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1" fillId="2" borderId="0" xfId="0" applyNumberFormat="1" applyFont="1" applyFill="1" applyBorder="1" applyAlignment="1" applyProtection="1">
      <alignment horizontal="left" vertical="center" wrapText="1" indent="1"/>
    </xf>
    <xf numFmtId="0" fontId="123" fillId="9" borderId="0" xfId="0" applyNumberFormat="1" applyFont="1" applyFill="1" applyBorder="1" applyAlignment="1" applyProtection="1">
      <alignment horizontal="left" wrapText="1" indent="2"/>
    </xf>
    <xf numFmtId="0" fontId="124" fillId="9" borderId="0" xfId="0" applyNumberFormat="1" applyFont="1" applyFill="1" applyBorder="1" applyAlignment="1" applyProtection="1">
      <alignment horizontal="left" wrapText="1" indent="3"/>
    </xf>
    <xf numFmtId="0" fontId="124" fillId="29" borderId="0" xfId="0" applyNumberFormat="1" applyFont="1" applyFill="1" applyBorder="1" applyAlignment="1" applyProtection="1">
      <alignment horizontal="left" wrapText="1" indent="3"/>
    </xf>
    <xf numFmtId="164" fontId="124" fillId="29" borderId="0" xfId="0" applyNumberFormat="1" applyFont="1" applyFill="1" applyBorder="1" applyAlignment="1" applyProtection="1">
      <alignment horizontal="left" wrapText="1" indent="3"/>
    </xf>
    <xf numFmtId="0" fontId="124" fillId="29" borderId="0" xfId="1" applyNumberFormat="1" applyFont="1" applyFill="1" applyBorder="1" applyAlignment="1" applyProtection="1">
      <alignment horizontal="left" vertical="center" wrapText="1" indent="3"/>
    </xf>
    <xf numFmtId="0" fontId="124" fillId="29" borderId="0" xfId="1" applyNumberFormat="1" applyFont="1" applyFill="1" applyBorder="1" applyAlignment="1" applyProtection="1">
      <alignment horizontal="left" vertical="center" wrapText="1" indent="4"/>
    </xf>
    <xf numFmtId="0" fontId="124" fillId="29" borderId="0" xfId="1" applyNumberFormat="1" applyFont="1" applyFill="1" applyBorder="1" applyAlignment="1" applyProtection="1">
      <alignment horizontal="left" vertical="center" wrapText="1" indent="5"/>
    </xf>
    <xf numFmtId="0" fontId="124" fillId="29" borderId="0" xfId="1" applyNumberFormat="1" applyFont="1" applyFill="1" applyBorder="1" applyAlignment="1" applyProtection="1">
      <alignment horizontal="left" vertical="center" wrapText="1" indent="6"/>
    </xf>
    <xf numFmtId="0" fontId="124"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6" fillId="0" borderId="0" xfId="0" applyNumberFormat="1" applyFont="1" applyFill="1" applyBorder="1" applyAlignment="1" applyProtection="1">
      <alignment horizontal="right" wrapText="1"/>
    </xf>
    <xf numFmtId="169" fontId="116" fillId="2" borderId="0" xfId="0" applyNumberFormat="1" applyFont="1" applyFill="1" applyBorder="1" applyAlignment="1" applyProtection="1"/>
    <xf numFmtId="166" fontId="106" fillId="2" borderId="0" xfId="0" applyNumberFormat="1" applyFont="1" applyFill="1" applyBorder="1" applyAlignment="1" applyProtection="1"/>
    <xf numFmtId="168" fontId="125" fillId="0" borderId="0" xfId="0" applyNumberFormat="1" applyFont="1" applyFill="1" applyBorder="1" applyAlignment="1" applyProtection="1">
      <alignment horizontal="right" wrapText="1"/>
    </xf>
    <xf numFmtId="168" fontId="126" fillId="0" borderId="0" xfId="0" applyNumberFormat="1" applyFont="1" applyFill="1" applyBorder="1" applyAlignment="1" applyProtection="1">
      <alignment horizontal="right" wrapText="1"/>
    </xf>
    <xf numFmtId="166" fontId="112" fillId="6" borderId="2" xfId="0" applyNumberFormat="1" applyFont="1" applyFill="1" applyBorder="1" applyAlignment="1" applyProtection="1"/>
    <xf numFmtId="166" fontId="54" fillId="6" borderId="2" xfId="0" applyNumberFormat="1" applyFont="1" applyFill="1" applyBorder="1" applyAlignment="1" applyProtection="1"/>
    <xf numFmtId="0" fontId="124" fillId="29" borderId="0" xfId="1" applyNumberFormat="1" applyFont="1" applyFill="1" applyBorder="1" applyAlignment="1" applyProtection="1">
      <alignment horizontal="right" vertical="center" wrapText="1"/>
    </xf>
    <xf numFmtId="0" fontId="124"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3"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9"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4" fillId="9" borderId="0" xfId="0" applyNumberFormat="1" applyFont="1" applyFill="1" applyBorder="1" applyAlignment="1" applyProtection="1">
      <alignment horizontal="left" vertical="center" wrapText="1" indent="3"/>
    </xf>
    <xf numFmtId="0" fontId="124" fillId="9" borderId="0" xfId="1" applyNumberFormat="1" applyFont="1" applyFill="1" applyBorder="1" applyAlignment="1" applyProtection="1">
      <alignment horizontal="left" vertical="center" wrapText="1" indent="3"/>
    </xf>
    <xf numFmtId="0" fontId="124" fillId="9" borderId="0" xfId="1" applyNumberFormat="1" applyFont="1" applyFill="1" applyBorder="1" applyAlignment="1" applyProtection="1">
      <alignment horizontal="right" vertical="center" wrapText="1"/>
    </xf>
    <xf numFmtId="0" fontId="123"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1"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6"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6"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2" fillId="6" borderId="2" xfId="0" applyNumberFormat="1" applyFont="1" applyFill="1" applyBorder="1" applyAlignment="1" applyProtection="1">
      <alignment horizontal="right"/>
    </xf>
    <xf numFmtId="0" fontId="88" fillId="2" borderId="0" xfId="0" applyNumberFormat="1" applyFont="1" applyFill="1" applyBorder="1" applyAlignment="1" applyProtection="1">
      <alignment wrapText="1"/>
      <protection locked="0"/>
    </xf>
    <xf numFmtId="0" fontId="88"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8"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4"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9"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3"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8"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6"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6"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0" fillId="7" borderId="0" xfId="0" applyFont="1" applyFill="1" applyAlignment="1">
      <alignment vertical="center"/>
    </xf>
    <xf numFmtId="164" fontId="130" fillId="7" borderId="0" xfId="0" applyFont="1" applyFill="1" applyAlignment="1">
      <alignment horizontal="left" vertical="center" indent="1"/>
    </xf>
    <xf numFmtId="164" fontId="130"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8" fillId="12" borderId="0" xfId="0" applyNumberFormat="1" applyFont="1" applyFill="1" applyBorder="1" applyAlignment="1" applyProtection="1">
      <alignment horizontal="center" vertical="center"/>
    </xf>
    <xf numFmtId="164" fontId="128" fillId="9" borderId="0" xfId="0" applyFont="1" applyFill="1" applyAlignment="1">
      <alignment horizontal="center" vertical="center"/>
    </xf>
    <xf numFmtId="164" fontId="128"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2" fillId="2" borderId="0" xfId="0" applyNumberFormat="1" applyFont="1" applyFill="1" applyBorder="1" applyProtection="1"/>
    <xf numFmtId="166" fontId="133"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5"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5"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7" fillId="2" borderId="0" xfId="0" applyNumberFormat="1" applyFont="1" applyFill="1"/>
    <xf numFmtId="166" fontId="138"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6" fillId="0" borderId="14" xfId="0" applyNumberFormat="1" applyFont="1" applyFill="1" applyBorder="1" applyAlignment="1" applyProtection="1">
      <alignment horizontal="right" wrapText="1"/>
    </xf>
    <xf numFmtId="166" fontId="106"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2" fillId="12" borderId="0" xfId="0" applyNumberFormat="1" applyFont="1" applyFill="1" applyBorder="1"/>
    <xf numFmtId="166" fontId="78"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164" fontId="2" fillId="13" borderId="0" xfId="1" applyFill="1" applyBorder="1" applyAlignment="1" applyProtection="1">
      <alignment horizontal="center" vertical="center"/>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143" fillId="38" borderId="7" xfId="1" applyFont="1" applyFill="1" applyBorder="1" applyAlignment="1" applyProtection="1">
      <alignment horizontal="center" vertical="center"/>
    </xf>
    <xf numFmtId="164" fontId="145" fillId="38" borderId="7" xfId="1" applyFont="1" applyFill="1" applyBorder="1" applyAlignment="1" applyProtection="1">
      <alignment horizontal="center" vertical="center"/>
    </xf>
    <xf numFmtId="164" fontId="76" fillId="26" borderId="7" xfId="1" applyFont="1" applyFill="1" applyBorder="1" applyAlignment="1" applyProtection="1">
      <alignment horizontal="center" vertical="center"/>
    </xf>
    <xf numFmtId="164" fontId="75" fillId="8" borderId="7" xfId="0" applyFont="1" applyFill="1" applyBorder="1" applyAlignment="1" applyProtection="1">
      <alignment horizontal="center" vertical="center"/>
    </xf>
    <xf numFmtId="164" fontId="117" fillId="8" borderId="7" xfId="1" applyFont="1" applyFill="1" applyBorder="1" applyAlignment="1" applyProtection="1">
      <alignment horizontal="center" vertical="center"/>
    </xf>
    <xf numFmtId="0" fontId="81" fillId="40" borderId="7" xfId="1" applyNumberFormat="1" applyFont="1" applyFill="1" applyBorder="1" applyAlignment="1" applyProtection="1">
      <alignment horizontal="center" vertical="center" wrapText="1"/>
    </xf>
    <xf numFmtId="164" fontId="94" fillId="28" borderId="7" xfId="1" applyFont="1" applyFill="1" applyBorder="1" applyAlignment="1" applyProtection="1">
      <alignment horizontal="center" vertical="center"/>
    </xf>
    <xf numFmtId="164" fontId="146" fillId="3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4"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8" fillId="0" borderId="0" xfId="0"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4"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90"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4" fillId="29" borderId="0" xfId="1" applyNumberFormat="1" applyFont="1" applyFill="1" applyBorder="1" applyAlignment="1" applyProtection="1">
      <alignment horizontal="left" vertical="center" wrapText="1"/>
    </xf>
    <xf numFmtId="0" fontId="123"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8"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0" fontId="15" fillId="9" borderId="0" xfId="0" applyNumberFormat="1" applyFont="1" applyFill="1" applyAlignment="1">
      <alignment horizontal="left" vertical="top" wrapText="1"/>
    </xf>
    <xf numFmtId="168" fontId="134" fillId="22" borderId="24" xfId="0" applyNumberFormat="1" applyFont="1" applyFill="1" applyBorder="1" applyAlignment="1" applyProtection="1">
      <alignment horizontal="center" vertical="center"/>
    </xf>
    <xf numFmtId="168" fontId="134" fillId="22" borderId="5" xfId="0" applyNumberFormat="1" applyFont="1" applyFill="1" applyBorder="1" applyAlignment="1" applyProtection="1">
      <alignment horizontal="center" vertical="center"/>
    </xf>
    <xf numFmtId="168" fontId="134" fillId="24" borderId="24" xfId="0" applyNumberFormat="1" applyFont="1" applyFill="1" applyBorder="1" applyAlignment="1" applyProtection="1">
      <alignment horizontal="center" vertical="center"/>
    </xf>
    <xf numFmtId="168" fontId="134" fillId="24" borderId="5" xfId="0" applyNumberFormat="1" applyFont="1" applyFill="1" applyBorder="1" applyAlignment="1" applyProtection="1">
      <alignment horizontal="center" vertical="center"/>
    </xf>
    <xf numFmtId="168" fontId="134" fillId="23" borderId="24" xfId="0" applyNumberFormat="1" applyFont="1" applyFill="1" applyBorder="1" applyAlignment="1" applyProtection="1">
      <alignment horizontal="center" vertical="center"/>
    </xf>
    <xf numFmtId="168" fontId="134"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80"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80" fillId="0" borderId="0" xfId="0" applyNumberFormat="1" applyFont="1" applyBorder="1" applyAlignment="1" applyProtection="1">
      <alignment horizontal="left" vertical="center" wrapText="1"/>
    </xf>
    <xf numFmtId="0" fontId="80"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7"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07"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6" fillId="9" borderId="0" xfId="0" applyNumberFormat="1" applyFont="1" applyFill="1" applyBorder="1" applyAlignment="1" applyProtection="1">
      <alignment horizontal="left" wrapText="1" indent="3"/>
    </xf>
    <xf numFmtId="0" fontId="86" fillId="9" borderId="0" xfId="0" applyNumberFormat="1" applyFont="1" applyFill="1" applyBorder="1" applyAlignment="1" applyProtection="1">
      <alignment horizontal="left" vertical="center" wrapText="1" indent="3"/>
    </xf>
    <xf numFmtId="164" fontId="141"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80"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1" fillId="2" borderId="0" xfId="0" applyNumberFormat="1" applyFont="1" applyFill="1" applyBorder="1" applyAlignment="1" applyProtection="1">
      <alignment horizontal="right" vertical="center" wrapText="1"/>
    </xf>
    <xf numFmtId="164" fontId="131"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9" fillId="0" borderId="0" xfId="0" applyFont="1" applyAlignment="1">
      <alignment horizontal="center"/>
    </xf>
    <xf numFmtId="164" fontId="131" fillId="0" borderId="0" xfId="0" applyFont="1" applyBorder="1"/>
    <xf numFmtId="0" fontId="105"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hq1\MVANDEH\SharePoint%20Drafts\deqsps\programs\rulemaking\wq\pmtfee\docs\3-Fee%20Approval\FEE.ANALYSIS.docx" TargetMode="External"/><Relationship Id="rId39" Type="http://schemas.openxmlformats.org/officeDocument/2006/relationships/hyperlink" Target="file:///\\deq000\templates\General\Agenda%20Template.dotx" TargetMode="External"/><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wq\pmtfee\Q-Cards\PDF\2-AdvisoryCommittee.pdf" TargetMode="External"/><Relationship Id="rId34" Type="http://schemas.openxmlformats.org/officeDocument/2006/relationships/hyperlink" Target="file:///\\deq000\templates\General\Agenda%20Template.dotx" TargetMode="External"/><Relationship Id="rId42" Type="http://schemas.openxmlformats.org/officeDocument/2006/relationships/hyperlink" Target="http://deq05/intranet/communication/docs/DEQAgencyTemplate1.potx" TargetMode="External"/><Relationship Id="rId47" Type="http://schemas.openxmlformats.org/officeDocument/2006/relationships/hyperlink" Target="http://www.oregon.gov/DAS/CFO/budgetkickoffmeetings/march2012/107bf22feechangedetail.xls" TargetMode="External"/><Relationship Id="rId50" Type="http://schemas.openxmlformats.org/officeDocument/2006/relationships/drawing" Target="../drawings/drawing1.xm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hq1\MVANDEH\SharePoint%20Drafts\deqsps\programs\rulemaking\wq\pmtfee\docs\4-Public%20Notice\NOTICE.doc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file:///\\deq000\templates\General\Minutes%20Template.dotx" TargetMode="External"/><Relationship Id="rId46" Type="http://schemas.openxmlformats.org/officeDocument/2006/relationships/hyperlink" Target="file:///\\DEQhq1\MVANDEH\SharePoint%20Drafts\deqsps\programs\rulemaking\wq\pmtfee\docs\3-Fee%20Approval\FEE.ANALYSIS.doc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hq1\MVANDEH\SharePoint%20Drafts\deqsps\programs\rulemaking\wq\pmtfee\docs\2-Stakeholder%20Involvement\ROSTER.xlsx" TargetMode="External"/><Relationship Id="rId41" Type="http://schemas.openxmlformats.org/officeDocument/2006/relationships/hyperlink" Target="http://deq05/intranet/communication/docs/DEQAgencyTemplate1.potx" TargetMode="Externa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file:///\\DEQhq1\MVANDEH\SharePoint%20Drafts\deqsps\programs\rulemaking\wq\pmtfee\docs\4-Public%20Notice\INVITATION.TO.COMMENT.docx"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Minutes%20Template.dotx" TargetMode="External"/><Relationship Id="rId45" Type="http://schemas.openxmlformats.org/officeDocument/2006/relationships/hyperlink" Target="http://deq05/intranet/communication/docs/DEQAgencyTemplate1.potx" TargetMode="Externa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www.deq.state.or.us/regulations/rulemaking.htm" TargetMode="External"/><Relationship Id="rId28" Type="http://schemas.openxmlformats.org/officeDocument/2006/relationships/hyperlink" Target="file:///\\DEQhq1\MVANDEH\SharePoint%20Drafts\deqsps\programs\rulemaking\wq\pmtfee\docs\6-EQC%20Preparation\STAFF.RPT.Permanent.docx" TargetMode="External"/><Relationship Id="rId36" Type="http://schemas.openxmlformats.org/officeDocument/2006/relationships/hyperlink" Target="file:///\\deq000\templates\General\Minutes%20Template.dotx" TargetMode="External"/><Relationship Id="rId49" Type="http://schemas.openxmlformats.org/officeDocument/2006/relationships/printerSettings" Target="../printerSettings/printerSettings2.bin"/><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http://deq05/intranet/communication/subscriptionservice.htm" TargetMode="External"/><Relationship Id="rId44" Type="http://schemas.openxmlformats.org/officeDocument/2006/relationships/hyperlink" Target="http://deq05/intranet/communication/docs/DEQAgencyTemplate1.potx" TargetMode="External"/><Relationship Id="rId4" Type="http://schemas.openxmlformats.org/officeDocument/2006/relationships/hyperlink" Target="http://www.deq.state.or.us/regulations/rules.htm"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file:///\\DEQhq1\MVANDEH\SharePoint%20Drafts\deqsps\programs\rulemaking\wq\pmtfee\Q-Cards\PDF\2-AdvisoryCommittee.pdf" TargetMode="External"/><Relationship Id="rId27" Type="http://schemas.openxmlformats.org/officeDocument/2006/relationships/hyperlink" Target="file:///\\DEQhq1\MVANDEH\SharePoint%20Drafts\deqsps\programs\rulemaking\wq\pmtfee\docs\6-EQC%20Preparation\STAFF%20RPT.Temporary.docx" TargetMode="External"/><Relationship Id="rId30" Type="http://schemas.openxmlformats.org/officeDocument/2006/relationships/hyperlink" Target="http://deq05/intranet/communication/publicinvolvement/index.htm" TargetMode="External"/><Relationship Id="rId35" Type="http://schemas.openxmlformats.org/officeDocument/2006/relationships/hyperlink" Target="file:///\\deq000\templates\General\Agenda%20Template.dotx" TargetMode="External"/><Relationship Id="rId43" Type="http://schemas.openxmlformats.org/officeDocument/2006/relationships/hyperlink" Target="http://deq05/intranet/communication/docs/DEQAgencyTemplate1.potx" TargetMode="External"/><Relationship Id="rId48" Type="http://schemas.openxmlformats.org/officeDocument/2006/relationships/hyperlink" Target="http://www.oregon.gov/DAS/CFO/budgetkickoffmeetings/march2012/107bf21_feeapproval.doc" TargetMode="External"/><Relationship Id="rId8" Type="http://schemas.openxmlformats.org/officeDocument/2006/relationships/hyperlink" Target="http://www.deq.state.or.us/regulations/rulemaking.htm" TargetMode="External"/><Relationship Id="rId5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1">
        <v>3</v>
      </c>
      <c r="D2" s="67">
        <v>4</v>
      </c>
      <c r="E2" s="67">
        <v>5</v>
      </c>
      <c r="F2" s="67">
        <v>6</v>
      </c>
      <c r="G2" s="65"/>
      <c r="H2" s="65"/>
      <c r="I2" s="65"/>
      <c r="J2" s="65"/>
      <c r="K2" s="65"/>
      <c r="L2" s="65"/>
      <c r="M2" s="2"/>
      <c r="N2" s="2"/>
      <c r="O2" s="2"/>
      <c r="P2" s="1"/>
      <c r="Q2" s="1"/>
    </row>
    <row r="3" spans="1:20">
      <c r="A3" s="4" t="s">
        <v>13</v>
      </c>
      <c r="B3" s="4" t="s">
        <v>19</v>
      </c>
      <c r="C3" s="4" t="s">
        <v>20</v>
      </c>
      <c r="D3" s="219" t="s">
        <v>286</v>
      </c>
      <c r="E3" s="343" t="s">
        <v>251</v>
      </c>
      <c r="F3" s="343" t="s">
        <v>293</v>
      </c>
      <c r="G3" s="65"/>
      <c r="H3" s="65"/>
      <c r="I3" s="65"/>
      <c r="J3" s="65"/>
      <c r="K3" s="65"/>
      <c r="L3" s="65"/>
      <c r="M3" s="2"/>
      <c r="N3" s="2"/>
      <c r="O3" s="2"/>
      <c r="P3"/>
      <c r="Q3"/>
      <c r="R3"/>
      <c r="S3"/>
    </row>
    <row r="4" spans="1:20" ht="18.75" customHeight="1">
      <c r="A4" s="209">
        <v>41353</v>
      </c>
      <c r="B4" s="209">
        <v>41316</v>
      </c>
      <c r="C4" s="209">
        <v>41346</v>
      </c>
      <c r="D4" s="220">
        <f>A5-A4</f>
        <v>91</v>
      </c>
      <c r="E4" s="209">
        <f>A4+D4</f>
        <v>41444</v>
      </c>
      <c r="F4" s="209">
        <v>41259</v>
      </c>
      <c r="G4" s="65"/>
      <c r="H4" s="65"/>
      <c r="I4" s="65"/>
      <c r="J4" s="65"/>
      <c r="K4" s="65"/>
      <c r="L4" s="65"/>
      <c r="M4" s="65"/>
      <c r="N4" s="65"/>
      <c r="O4" s="65"/>
      <c r="P4"/>
      <c r="Q4"/>
      <c r="R4"/>
      <c r="S4"/>
    </row>
    <row r="5" spans="1:20" ht="18.75" customHeight="1">
      <c r="A5" s="209">
        <v>41444</v>
      </c>
      <c r="B5" s="209">
        <v>41404</v>
      </c>
      <c r="C5" s="209">
        <v>41437</v>
      </c>
      <c r="D5" s="220">
        <f t="shared" ref="D5:D14" si="0">A6-A5</f>
        <v>63</v>
      </c>
      <c r="E5" s="209">
        <f t="shared" ref="E5:E19" si="1">A5+D5</f>
        <v>41507</v>
      </c>
      <c r="F5" s="209">
        <f>A5-D4</f>
        <v>41353</v>
      </c>
      <c r="G5" s="65"/>
      <c r="H5" s="65"/>
      <c r="I5" s="65"/>
      <c r="J5" s="65"/>
      <c r="K5" s="65"/>
      <c r="L5" s="65"/>
      <c r="M5" s="65"/>
      <c r="N5" s="65"/>
      <c r="O5" s="65"/>
      <c r="P5"/>
      <c r="Q5"/>
      <c r="R5"/>
      <c r="S5"/>
    </row>
    <row r="6" spans="1:20" ht="18.75" customHeight="1">
      <c r="A6" s="209">
        <v>41507</v>
      </c>
      <c r="B6" s="209">
        <v>41471</v>
      </c>
      <c r="C6" s="209">
        <v>41500</v>
      </c>
      <c r="D6" s="220">
        <f t="shared" si="0"/>
        <v>56</v>
      </c>
      <c r="E6" s="209">
        <f t="shared" si="1"/>
        <v>41563</v>
      </c>
      <c r="F6" s="209">
        <f t="shared" ref="F6:F19" si="2">A6-D5</f>
        <v>41444</v>
      </c>
      <c r="G6" s="65"/>
      <c r="H6" s="65"/>
      <c r="I6" s="65"/>
      <c r="J6" s="65"/>
      <c r="K6" s="65"/>
      <c r="L6" s="65"/>
      <c r="M6" s="65"/>
      <c r="N6" s="65"/>
      <c r="O6" s="65"/>
      <c r="P6"/>
      <c r="Q6"/>
      <c r="R6"/>
      <c r="S6"/>
    </row>
    <row r="7" spans="1:20">
      <c r="A7" s="209">
        <v>41563</v>
      </c>
      <c r="B7" s="209">
        <v>41527</v>
      </c>
      <c r="C7" s="209">
        <v>41556</v>
      </c>
      <c r="D7" s="220">
        <f t="shared" si="0"/>
        <v>56</v>
      </c>
      <c r="E7" s="209">
        <f t="shared" si="1"/>
        <v>41619</v>
      </c>
      <c r="F7" s="209">
        <f t="shared" si="2"/>
        <v>41507</v>
      </c>
      <c r="G7" s="65"/>
      <c r="H7" s="65"/>
      <c r="I7" s="65"/>
      <c r="J7" s="65"/>
      <c r="K7" s="65"/>
      <c r="L7" s="65"/>
      <c r="M7" s="65"/>
      <c r="N7" s="65"/>
      <c r="O7" s="65"/>
      <c r="P7"/>
      <c r="Q7"/>
      <c r="R7"/>
      <c r="S7"/>
    </row>
    <row r="8" spans="1:20">
      <c r="A8" s="209">
        <v>41619</v>
      </c>
      <c r="B8" s="209">
        <v>41579</v>
      </c>
      <c r="C8" s="209">
        <v>41612</v>
      </c>
      <c r="D8" s="220">
        <f t="shared" si="0"/>
        <v>98</v>
      </c>
      <c r="E8" s="209">
        <f t="shared" si="1"/>
        <v>41717</v>
      </c>
      <c r="F8" s="209">
        <f t="shared" si="2"/>
        <v>41563</v>
      </c>
      <c r="G8" s="65"/>
      <c r="H8" s="65"/>
      <c r="I8" s="65"/>
      <c r="J8" s="65"/>
      <c r="K8" s="65"/>
      <c r="L8" s="65"/>
      <c r="M8" s="65"/>
      <c r="N8" s="65"/>
      <c r="O8" s="65"/>
      <c r="P8"/>
      <c r="Q8"/>
      <c r="R8"/>
      <c r="S8"/>
    </row>
    <row r="9" spans="1:20">
      <c r="A9" s="214">
        <v>41717</v>
      </c>
      <c r="B9" s="214">
        <f t="shared" ref="B9:B20" si="3">WORKDAY(A9-40,-1,S.DDL_DEQClosed)</f>
        <v>41676</v>
      </c>
      <c r="C9" s="214">
        <f t="shared" ref="C9:C20" si="4">WORKDAY(A9-9,-1,S.DDL_DEQClosed)</f>
        <v>41705</v>
      </c>
      <c r="D9" s="220">
        <f t="shared" si="0"/>
        <v>91</v>
      </c>
      <c r="E9" s="209">
        <f t="shared" si="1"/>
        <v>41808</v>
      </c>
      <c r="F9" s="209">
        <f t="shared" si="2"/>
        <v>41619</v>
      </c>
      <c r="G9" s="65"/>
      <c r="H9" s="65"/>
      <c r="I9" s="65"/>
      <c r="J9" s="65"/>
      <c r="K9" s="65"/>
      <c r="L9" s="65"/>
      <c r="M9" s="65"/>
      <c r="N9" s="65"/>
      <c r="O9" s="65"/>
      <c r="P9"/>
      <c r="Q9"/>
      <c r="R9"/>
      <c r="S9"/>
    </row>
    <row r="10" spans="1:20">
      <c r="A10" s="214">
        <v>41808</v>
      </c>
      <c r="B10" s="214">
        <f t="shared" si="3"/>
        <v>41767</v>
      </c>
      <c r="C10" s="214">
        <f t="shared" si="4"/>
        <v>41796</v>
      </c>
      <c r="D10" s="220">
        <f t="shared" si="0"/>
        <v>63</v>
      </c>
      <c r="E10" s="209">
        <f t="shared" si="1"/>
        <v>41871</v>
      </c>
      <c r="F10" s="209">
        <f t="shared" si="2"/>
        <v>41717</v>
      </c>
      <c r="G10" s="65"/>
      <c r="H10" s="65"/>
      <c r="I10" s="65"/>
      <c r="J10" s="65"/>
      <c r="K10" s="65"/>
      <c r="L10" s="65"/>
      <c r="M10" s="65"/>
      <c r="N10" s="65"/>
      <c r="O10" s="65"/>
      <c r="P10"/>
      <c r="Q10"/>
      <c r="R10"/>
      <c r="S10"/>
    </row>
    <row r="11" spans="1:20">
      <c r="A11" s="214">
        <v>41871</v>
      </c>
      <c r="B11" s="214">
        <f t="shared" si="3"/>
        <v>41830</v>
      </c>
      <c r="C11" s="214">
        <f t="shared" si="4"/>
        <v>41859</v>
      </c>
      <c r="D11" s="220">
        <f t="shared" si="0"/>
        <v>56</v>
      </c>
      <c r="E11" s="209">
        <f t="shared" si="1"/>
        <v>41927</v>
      </c>
      <c r="F11" s="209">
        <f t="shared" si="2"/>
        <v>41808</v>
      </c>
      <c r="G11" s="65"/>
      <c r="H11" s="65"/>
      <c r="I11" s="65"/>
      <c r="J11" s="65"/>
      <c r="K11" s="65"/>
      <c r="L11" s="65"/>
      <c r="M11" s="65"/>
      <c r="N11" s="65"/>
      <c r="O11" s="65"/>
      <c r="P11"/>
      <c r="Q11"/>
      <c r="R11"/>
      <c r="S11"/>
    </row>
    <row r="12" spans="1:20">
      <c r="A12" s="214">
        <v>41927</v>
      </c>
      <c r="B12" s="214">
        <f t="shared" si="3"/>
        <v>41886</v>
      </c>
      <c r="C12" s="214">
        <f t="shared" si="4"/>
        <v>41915</v>
      </c>
      <c r="D12" s="220">
        <f t="shared" si="0"/>
        <v>56</v>
      </c>
      <c r="E12" s="209">
        <f t="shared" si="1"/>
        <v>41983</v>
      </c>
      <c r="F12" s="209">
        <f t="shared" si="2"/>
        <v>41871</v>
      </c>
      <c r="G12" s="65"/>
      <c r="H12" s="65"/>
      <c r="I12" s="65"/>
      <c r="J12" s="65"/>
      <c r="K12" s="65"/>
      <c r="L12" s="65"/>
      <c r="M12" s="65"/>
      <c r="N12" s="65"/>
      <c r="O12" s="65"/>
      <c r="P12"/>
      <c r="Q12"/>
      <c r="R12"/>
      <c r="S12"/>
    </row>
    <row r="13" spans="1:20">
      <c r="A13" s="214">
        <v>41983</v>
      </c>
      <c r="B13" s="214">
        <f t="shared" si="3"/>
        <v>41942</v>
      </c>
      <c r="C13" s="214">
        <f t="shared" si="4"/>
        <v>41971</v>
      </c>
      <c r="D13" s="220">
        <f t="shared" si="0"/>
        <v>98</v>
      </c>
      <c r="E13" s="209">
        <f t="shared" si="1"/>
        <v>42081</v>
      </c>
      <c r="F13" s="209">
        <f t="shared" si="2"/>
        <v>41927</v>
      </c>
      <c r="G13" s="65"/>
      <c r="H13" s="65"/>
      <c r="I13" s="65"/>
      <c r="J13" s="65"/>
      <c r="K13" s="65"/>
      <c r="L13" s="65"/>
      <c r="M13" s="65"/>
      <c r="N13" s="65"/>
      <c r="O13" s="65"/>
      <c r="P13"/>
      <c r="Q13"/>
      <c r="R13"/>
      <c r="S13"/>
    </row>
    <row r="14" spans="1:20">
      <c r="A14" s="214">
        <v>42081</v>
      </c>
      <c r="B14" s="214">
        <f t="shared" si="3"/>
        <v>42040</v>
      </c>
      <c r="C14" s="214">
        <f t="shared" si="4"/>
        <v>42069</v>
      </c>
      <c r="D14" s="220">
        <f t="shared" si="0"/>
        <v>92</v>
      </c>
      <c r="E14" s="209">
        <f t="shared" si="1"/>
        <v>42173</v>
      </c>
      <c r="F14" s="209">
        <f t="shared" si="2"/>
        <v>41983</v>
      </c>
      <c r="G14" s="2"/>
      <c r="H14" s="2"/>
      <c r="I14" s="65"/>
      <c r="J14" s="65"/>
      <c r="K14" s="65"/>
      <c r="L14" s="65"/>
      <c r="M14" s="65"/>
      <c r="N14" s="65"/>
      <c r="O14" s="65"/>
      <c r="P14"/>
      <c r="Q14"/>
      <c r="R14"/>
      <c r="S14"/>
    </row>
    <row r="15" spans="1:20">
      <c r="A15" s="214">
        <v>42173</v>
      </c>
      <c r="B15" s="214">
        <f t="shared" si="3"/>
        <v>42132</v>
      </c>
      <c r="C15" s="214">
        <f t="shared" si="4"/>
        <v>42163</v>
      </c>
      <c r="D15" s="220">
        <f>A16-A15</f>
        <v>63</v>
      </c>
      <c r="E15" s="209">
        <f t="shared" si="1"/>
        <v>42236</v>
      </c>
      <c r="F15" s="209">
        <f t="shared" si="2"/>
        <v>42081</v>
      </c>
      <c r="G15" s="2"/>
      <c r="H15" s="2"/>
      <c r="I15" s="2"/>
      <c r="J15" s="2"/>
      <c r="K15" s="70"/>
      <c r="L15" s="70"/>
      <c r="M15" s="2"/>
      <c r="N15" s="2"/>
      <c r="O15" s="2"/>
      <c r="P15" s="1"/>
      <c r="Q15" s="1"/>
    </row>
    <row r="16" spans="1:20">
      <c r="A16" s="214">
        <v>42236</v>
      </c>
      <c r="B16" s="214">
        <f t="shared" si="3"/>
        <v>42195</v>
      </c>
      <c r="C16" s="214">
        <f t="shared" si="4"/>
        <v>42226</v>
      </c>
      <c r="D16" s="220">
        <f>A17-A16</f>
        <v>63</v>
      </c>
      <c r="E16" s="209">
        <f t="shared" si="1"/>
        <v>42299</v>
      </c>
      <c r="F16" s="209">
        <f t="shared" si="2"/>
        <v>42173</v>
      </c>
      <c r="G16" s="2"/>
      <c r="H16" s="2"/>
      <c r="I16" s="2"/>
      <c r="J16" s="2"/>
      <c r="K16" s="70"/>
      <c r="L16" s="70"/>
      <c r="M16" s="2"/>
      <c r="N16" s="2"/>
      <c r="O16" s="2"/>
      <c r="P16" s="1"/>
      <c r="Q16" s="1"/>
    </row>
    <row r="17" spans="1:20">
      <c r="A17" s="214">
        <v>42299</v>
      </c>
      <c r="B17" s="214">
        <f t="shared" si="3"/>
        <v>42258</v>
      </c>
      <c r="C17" s="214">
        <f t="shared" si="4"/>
        <v>42289</v>
      </c>
      <c r="D17" s="220">
        <f>A18-A17</f>
        <v>56</v>
      </c>
      <c r="E17" s="209">
        <f t="shared" si="1"/>
        <v>42355</v>
      </c>
      <c r="F17" s="209">
        <f t="shared" si="2"/>
        <v>42236</v>
      </c>
      <c r="G17" s="2"/>
      <c r="H17" s="2"/>
      <c r="I17" s="2"/>
      <c r="J17" s="2"/>
      <c r="K17" s="70"/>
      <c r="L17" s="70"/>
      <c r="M17" s="2"/>
      <c r="N17" s="2"/>
      <c r="O17" s="2"/>
      <c r="P17" s="1"/>
      <c r="Q17" s="1"/>
    </row>
    <row r="18" spans="1:20">
      <c r="A18" s="214">
        <v>42355</v>
      </c>
      <c r="B18" s="214">
        <f t="shared" si="3"/>
        <v>42314</v>
      </c>
      <c r="C18" s="214">
        <f t="shared" si="4"/>
        <v>42345</v>
      </c>
      <c r="D18" s="220">
        <f>A19-A18</f>
        <v>90</v>
      </c>
      <c r="E18" s="209">
        <f t="shared" si="1"/>
        <v>42445</v>
      </c>
      <c r="F18" s="209">
        <f t="shared" si="2"/>
        <v>42299</v>
      </c>
      <c r="G18" s="2"/>
      <c r="H18" s="2"/>
      <c r="I18" s="2"/>
      <c r="J18" s="2"/>
      <c r="K18" s="70"/>
      <c r="L18" s="70"/>
      <c r="M18" s="2"/>
      <c r="N18" s="2"/>
      <c r="O18" s="2"/>
      <c r="P18" s="1"/>
      <c r="Q18" s="1"/>
    </row>
    <row r="19" spans="1:20">
      <c r="A19" s="214">
        <v>42445</v>
      </c>
      <c r="B19" s="214">
        <f t="shared" si="3"/>
        <v>42404</v>
      </c>
      <c r="C19" s="214">
        <f t="shared" si="4"/>
        <v>42433</v>
      </c>
      <c r="D19" s="220">
        <f>A20-A19</f>
        <v>91</v>
      </c>
      <c r="E19" s="209">
        <f t="shared" si="1"/>
        <v>42536</v>
      </c>
      <c r="F19" s="209">
        <f t="shared" si="2"/>
        <v>42355</v>
      </c>
      <c r="G19" s="2"/>
      <c r="H19" s="2"/>
      <c r="I19" s="2"/>
      <c r="J19" s="2"/>
      <c r="K19" s="70"/>
      <c r="L19" s="70"/>
      <c r="M19" s="2"/>
      <c r="N19" s="2"/>
      <c r="O19" s="2"/>
      <c r="P19" s="1"/>
      <c r="Q19" s="1"/>
    </row>
    <row r="20" spans="1:20">
      <c r="A20" s="214">
        <v>42536</v>
      </c>
      <c r="B20" s="214">
        <f t="shared" si="3"/>
        <v>42495</v>
      </c>
      <c r="C20" s="214">
        <f t="shared" si="4"/>
        <v>42524</v>
      </c>
      <c r="D20" s="320">
        <f>D19</f>
        <v>91</v>
      </c>
      <c r="E20" s="2"/>
      <c r="F20" s="2"/>
      <c r="G20" s="2"/>
      <c r="H20" s="2"/>
      <c r="I20" s="2"/>
      <c r="J20" s="2"/>
      <c r="K20" s="70"/>
      <c r="L20" s="70"/>
      <c r="M20" s="2"/>
      <c r="N20" s="2"/>
      <c r="O20" s="2"/>
      <c r="P20" s="1"/>
      <c r="Q20" s="1"/>
    </row>
    <row r="21" spans="1:20">
      <c r="A21" s="8"/>
      <c r="B21" s="8"/>
      <c r="C21" s="9"/>
      <c r="D21" s="9"/>
      <c r="E21" s="72"/>
      <c r="F21" s="72"/>
      <c r="G21" s="72"/>
      <c r="H21" s="72"/>
      <c r="I21" s="2"/>
      <c r="J21" s="34" t="s">
        <v>141</v>
      </c>
      <c r="K21" s="2"/>
      <c r="L21" s="9"/>
      <c r="M21" s="9"/>
      <c r="N21" s="65"/>
      <c r="O21" s="65"/>
      <c r="P21" s="70"/>
      <c r="Q21" s="70"/>
      <c r="R21" s="2"/>
      <c r="S21" s="2"/>
      <c r="T21" s="2"/>
    </row>
    <row r="22" spans="1:20">
      <c r="A22" s="10" t="s">
        <v>27</v>
      </c>
      <c r="B22" s="10"/>
      <c r="C22" s="9"/>
      <c r="D22" s="9"/>
      <c r="E22" s="72"/>
      <c r="F22" s="72"/>
      <c r="G22" s="72"/>
      <c r="H22" s="72"/>
      <c r="I22" s="2"/>
      <c r="J22" s="738" t="s">
        <v>140</v>
      </c>
      <c r="K22" s="738"/>
      <c r="L22" s="738"/>
      <c r="M22" s="738"/>
      <c r="N22" s="738"/>
      <c r="O22" s="738"/>
      <c r="P22" s="738"/>
      <c r="Q22" s="70"/>
      <c r="R22" s="2"/>
      <c r="S22" s="2"/>
      <c r="T22" s="2"/>
    </row>
    <row r="23" spans="1:20">
      <c r="A23" s="22">
        <v>41275</v>
      </c>
      <c r="B23" s="20" t="s">
        <v>7</v>
      </c>
      <c r="C23" s="33">
        <f>A23</f>
        <v>41275</v>
      </c>
      <c r="D23" s="33"/>
      <c r="E23" s="72"/>
      <c r="F23" s="72"/>
      <c r="G23" s="72"/>
      <c r="H23" s="72"/>
      <c r="I23" s="2"/>
      <c r="J23" s="738"/>
      <c r="K23" s="738"/>
      <c r="L23" s="738"/>
      <c r="M23" s="738"/>
      <c r="N23" s="738"/>
      <c r="O23" s="738"/>
      <c r="P23" s="738"/>
      <c r="Q23" s="70"/>
      <c r="R23" s="2"/>
      <c r="S23" s="2"/>
      <c r="T23" s="2"/>
    </row>
    <row r="24" spans="1:20">
      <c r="A24" s="22">
        <v>41292</v>
      </c>
      <c r="B24" s="20" t="s">
        <v>5</v>
      </c>
      <c r="C24" s="33">
        <f t="shared" ref="C24:C71" si="5">A24</f>
        <v>41292</v>
      </c>
      <c r="D24" s="33"/>
      <c r="E24" s="72"/>
      <c r="F24" s="72"/>
      <c r="G24" s="72"/>
      <c r="H24" s="72"/>
      <c r="I24" s="2"/>
      <c r="J24" s="738"/>
      <c r="K24" s="738"/>
      <c r="L24" s="738"/>
      <c r="M24" s="738"/>
      <c r="N24" s="738"/>
      <c r="O24" s="738"/>
      <c r="P24" s="738"/>
      <c r="Q24" s="70"/>
      <c r="R24" s="2"/>
      <c r="S24" s="2"/>
      <c r="T24" s="2"/>
    </row>
    <row r="25" spans="1:20">
      <c r="A25" s="22">
        <v>41295</v>
      </c>
      <c r="B25" s="20" t="s">
        <v>8</v>
      </c>
      <c r="C25" s="33">
        <f t="shared" si="5"/>
        <v>41295</v>
      </c>
      <c r="D25" s="33"/>
      <c r="E25" s="72"/>
      <c r="F25" s="72"/>
      <c r="G25" s="72"/>
      <c r="H25" s="72"/>
      <c r="I25" s="2"/>
      <c r="J25" s="738"/>
      <c r="K25" s="738"/>
      <c r="L25" s="738"/>
      <c r="M25" s="738"/>
      <c r="N25" s="738"/>
      <c r="O25" s="738"/>
      <c r="P25" s="738"/>
      <c r="Q25" s="70"/>
      <c r="R25" s="2"/>
      <c r="S25" s="2"/>
      <c r="T25" s="2"/>
    </row>
    <row r="26" spans="1:20">
      <c r="A26" s="22">
        <v>41323</v>
      </c>
      <c r="B26" s="20" t="s">
        <v>9</v>
      </c>
      <c r="C26" s="33">
        <f t="shared" si="5"/>
        <v>41323</v>
      </c>
      <c r="D26" s="33"/>
      <c r="E26" s="72"/>
      <c r="F26" s="72"/>
      <c r="G26" s="72"/>
      <c r="H26" s="72"/>
      <c r="I26" s="2"/>
      <c r="J26" s="738"/>
      <c r="K26" s="738"/>
      <c r="L26" s="738"/>
      <c r="M26" s="738"/>
      <c r="N26" s="738"/>
      <c r="O26" s="738"/>
      <c r="P26" s="738"/>
      <c r="Q26" s="70"/>
      <c r="R26" s="2"/>
      <c r="S26" s="2"/>
      <c r="T26" s="2"/>
    </row>
    <row r="27" spans="1:20">
      <c r="A27" s="22">
        <v>41383</v>
      </c>
      <c r="B27" s="20" t="s">
        <v>5</v>
      </c>
      <c r="C27" s="33">
        <f t="shared" si="5"/>
        <v>41383</v>
      </c>
      <c r="D27" s="33"/>
      <c r="E27" s="72"/>
      <c r="F27" s="72"/>
      <c r="G27" s="72"/>
      <c r="H27" s="72"/>
      <c r="I27" s="2"/>
      <c r="J27" s="738"/>
      <c r="K27" s="738"/>
      <c r="L27" s="738"/>
      <c r="M27" s="738"/>
      <c r="N27" s="738"/>
      <c r="O27" s="738"/>
      <c r="P27" s="738"/>
      <c r="Q27" s="70"/>
      <c r="R27" s="2"/>
      <c r="S27" s="2"/>
      <c r="T27" s="2"/>
    </row>
    <row r="28" spans="1:20">
      <c r="A28" s="22">
        <v>41418</v>
      </c>
      <c r="B28" s="20" t="s">
        <v>5</v>
      </c>
      <c r="C28" s="33">
        <f t="shared" si="5"/>
        <v>41418</v>
      </c>
      <c r="D28" s="33"/>
      <c r="E28" s="72"/>
      <c r="F28" s="72"/>
      <c r="G28" s="72"/>
      <c r="H28" s="72"/>
      <c r="I28" s="2"/>
      <c r="J28" s="738"/>
      <c r="K28" s="738"/>
      <c r="L28" s="738"/>
      <c r="M28" s="738"/>
      <c r="N28" s="738"/>
      <c r="O28" s="738"/>
      <c r="P28" s="738"/>
      <c r="Q28" s="70"/>
      <c r="R28" s="2"/>
      <c r="S28" s="2"/>
      <c r="T28" s="2"/>
    </row>
    <row r="29" spans="1:20">
      <c r="A29" s="22">
        <v>41421</v>
      </c>
      <c r="B29" s="20" t="s">
        <v>10</v>
      </c>
      <c r="C29" s="33">
        <f t="shared" si="5"/>
        <v>41421</v>
      </c>
      <c r="D29" s="33"/>
      <c r="E29" s="72"/>
      <c r="F29" s="72"/>
      <c r="G29" s="72"/>
      <c r="H29" s="72"/>
      <c r="I29" s="2"/>
      <c r="J29" s="738"/>
      <c r="K29" s="738"/>
      <c r="L29" s="738"/>
      <c r="M29" s="738"/>
      <c r="N29" s="738"/>
      <c r="O29" s="738"/>
      <c r="P29" s="738"/>
      <c r="Q29" s="70"/>
      <c r="R29" s="2"/>
      <c r="S29" s="2"/>
      <c r="T29" s="2"/>
    </row>
    <row r="30" spans="1:20">
      <c r="A30" s="22">
        <v>41459</v>
      </c>
      <c r="B30" s="20" t="s">
        <v>11</v>
      </c>
      <c r="C30" s="33">
        <f t="shared" si="5"/>
        <v>41459</v>
      </c>
      <c r="D30" s="33"/>
      <c r="E30" s="72"/>
      <c r="F30" s="72"/>
      <c r="G30" s="72"/>
      <c r="H30" s="72"/>
      <c r="I30" s="2"/>
      <c r="J30" s="738"/>
      <c r="K30" s="738"/>
      <c r="L30" s="738"/>
      <c r="M30" s="738"/>
      <c r="N30" s="738"/>
      <c r="O30" s="738"/>
      <c r="P30" s="738"/>
      <c r="Q30" s="70"/>
      <c r="R30" s="2"/>
      <c r="S30" s="2"/>
      <c r="T30" s="2"/>
    </row>
    <row r="31" spans="1:20">
      <c r="A31" s="22">
        <v>41519</v>
      </c>
      <c r="B31" s="20" t="s">
        <v>12</v>
      </c>
      <c r="C31" s="33">
        <f t="shared" si="5"/>
        <v>41519</v>
      </c>
      <c r="D31" s="33"/>
      <c r="E31" s="72"/>
      <c r="F31" s="72"/>
      <c r="G31" s="72"/>
      <c r="H31" s="72"/>
      <c r="I31" s="2"/>
      <c r="J31" s="738"/>
      <c r="K31" s="738"/>
      <c r="L31" s="738"/>
      <c r="M31" s="738"/>
      <c r="N31" s="738"/>
      <c r="O31" s="738"/>
      <c r="P31" s="738"/>
      <c r="Q31" s="70"/>
      <c r="R31" s="2"/>
      <c r="S31" s="2"/>
      <c r="T31" s="2"/>
    </row>
    <row r="32" spans="1:20">
      <c r="A32" s="22">
        <v>41589</v>
      </c>
      <c r="B32" s="20" t="s">
        <v>3</v>
      </c>
      <c r="C32" s="33">
        <f t="shared" si="5"/>
        <v>41589</v>
      </c>
      <c r="D32" s="33"/>
      <c r="E32" s="72"/>
      <c r="F32" s="72"/>
      <c r="G32" s="72"/>
      <c r="H32" s="72"/>
      <c r="I32" s="2"/>
      <c r="J32" s="738"/>
      <c r="K32" s="738"/>
      <c r="L32" s="738"/>
      <c r="M32" s="738"/>
      <c r="N32" s="738"/>
      <c r="O32" s="738"/>
      <c r="P32" s="738"/>
      <c r="Q32" s="70"/>
      <c r="R32" s="2"/>
      <c r="S32" s="2"/>
      <c r="T32" s="2"/>
    </row>
    <row r="33" spans="1:20">
      <c r="A33" s="22">
        <v>41606</v>
      </c>
      <c r="B33" s="20" t="s">
        <v>4</v>
      </c>
      <c r="C33" s="33">
        <f t="shared" si="5"/>
        <v>41606</v>
      </c>
      <c r="D33" s="33"/>
      <c r="E33" s="72"/>
      <c r="F33" s="72"/>
      <c r="G33" s="72"/>
      <c r="H33" s="72"/>
      <c r="I33" s="2"/>
      <c r="J33" s="738"/>
      <c r="K33" s="738"/>
      <c r="L33" s="738"/>
      <c r="M33" s="738"/>
      <c r="N33" s="738"/>
      <c r="O33" s="738"/>
      <c r="P33" s="738"/>
      <c r="Q33" s="70"/>
      <c r="R33" s="2"/>
      <c r="S33" s="2"/>
      <c r="T33" s="2"/>
    </row>
    <row r="34" spans="1:20">
      <c r="A34" s="22">
        <v>41633</v>
      </c>
      <c r="B34" s="20" t="s">
        <v>6</v>
      </c>
      <c r="C34" s="33">
        <f t="shared" si="5"/>
        <v>41633</v>
      </c>
      <c r="D34" s="33"/>
      <c r="E34" s="72"/>
      <c r="F34" s="72"/>
      <c r="G34" s="72"/>
      <c r="H34" s="72"/>
      <c r="I34" s="2"/>
      <c r="J34" s="738"/>
      <c r="K34" s="738"/>
      <c r="L34" s="738"/>
      <c r="M34" s="738"/>
      <c r="N34" s="738"/>
      <c r="O34" s="738"/>
      <c r="P34" s="738"/>
      <c r="Q34" s="70"/>
      <c r="R34" s="2"/>
      <c r="S34" s="2"/>
      <c r="T34" s="2"/>
    </row>
    <row r="35" spans="1:20">
      <c r="A35" s="22">
        <v>41640</v>
      </c>
      <c r="B35" s="20" t="s">
        <v>7</v>
      </c>
      <c r="C35" s="33">
        <f t="shared" si="5"/>
        <v>41640</v>
      </c>
      <c r="D35" s="33"/>
      <c r="E35" s="72"/>
      <c r="F35" s="72"/>
      <c r="G35" s="72"/>
      <c r="H35" s="72"/>
      <c r="I35" s="2"/>
      <c r="J35" s="738"/>
      <c r="K35" s="738"/>
      <c r="L35" s="738"/>
      <c r="M35" s="738"/>
      <c r="N35" s="738"/>
      <c r="O35" s="738"/>
      <c r="P35" s="738"/>
      <c r="Q35" s="70"/>
      <c r="R35" s="2"/>
      <c r="S35" s="2"/>
      <c r="T35" s="2"/>
    </row>
    <row r="36" spans="1:20">
      <c r="A36" s="22">
        <v>41659</v>
      </c>
      <c r="B36" s="20" t="s">
        <v>8</v>
      </c>
      <c r="C36" s="33">
        <f t="shared" si="5"/>
        <v>41659</v>
      </c>
      <c r="D36" s="33"/>
      <c r="E36" s="72"/>
      <c r="F36" s="72"/>
      <c r="G36" s="72"/>
      <c r="H36" s="72"/>
      <c r="I36" s="2"/>
      <c r="J36" s="738"/>
      <c r="K36" s="738"/>
      <c r="L36" s="738"/>
      <c r="M36" s="738"/>
      <c r="N36" s="738"/>
      <c r="O36" s="738"/>
      <c r="P36" s="738"/>
      <c r="Q36" s="70"/>
      <c r="R36" s="2"/>
      <c r="S36" s="2"/>
      <c r="T36" s="2"/>
    </row>
    <row r="37" spans="1:20">
      <c r="A37" s="22">
        <v>41687</v>
      </c>
      <c r="B37" s="20" t="s">
        <v>9</v>
      </c>
      <c r="C37" s="33">
        <f t="shared" si="5"/>
        <v>41687</v>
      </c>
      <c r="D37" s="33"/>
      <c r="E37" s="72"/>
      <c r="F37" s="72"/>
      <c r="G37" s="72"/>
      <c r="H37" s="72"/>
      <c r="I37" s="2"/>
      <c r="J37" s="738"/>
      <c r="K37" s="738"/>
      <c r="L37" s="738"/>
      <c r="M37" s="738"/>
      <c r="N37" s="738"/>
      <c r="O37" s="738"/>
      <c r="P37" s="738"/>
      <c r="Q37" s="70"/>
      <c r="R37" s="2"/>
      <c r="S37" s="2"/>
      <c r="T37" s="2"/>
    </row>
    <row r="38" spans="1:20">
      <c r="A38" s="22">
        <v>41785</v>
      </c>
      <c r="B38" s="20" t="s">
        <v>10</v>
      </c>
      <c r="C38" s="33">
        <f t="shared" si="5"/>
        <v>41785</v>
      </c>
      <c r="D38" s="33"/>
      <c r="E38" s="72"/>
      <c r="F38" s="72"/>
      <c r="G38" s="72"/>
      <c r="H38" s="72"/>
      <c r="I38" s="2"/>
      <c r="J38" s="738"/>
      <c r="K38" s="738"/>
      <c r="L38" s="738"/>
      <c r="M38" s="738"/>
      <c r="N38" s="738"/>
      <c r="O38" s="738"/>
      <c r="P38" s="738"/>
      <c r="Q38" s="70"/>
      <c r="R38" s="2"/>
      <c r="S38" s="2"/>
      <c r="T38" s="2"/>
    </row>
    <row r="39" spans="1:20">
      <c r="A39" s="22">
        <v>41824</v>
      </c>
      <c r="B39" s="20" t="s">
        <v>11</v>
      </c>
      <c r="C39" s="33">
        <f t="shared" si="5"/>
        <v>41824</v>
      </c>
      <c r="D39" s="33"/>
      <c r="E39" s="72"/>
      <c r="F39" s="72"/>
      <c r="G39" s="72"/>
      <c r="H39" s="72"/>
      <c r="I39" s="2"/>
      <c r="J39" s="738"/>
      <c r="K39" s="738"/>
      <c r="L39" s="738"/>
      <c r="M39" s="738"/>
      <c r="N39" s="738"/>
      <c r="O39" s="738"/>
      <c r="P39" s="738"/>
      <c r="Q39" s="70"/>
      <c r="R39" s="2"/>
      <c r="S39" s="2"/>
      <c r="T39" s="2"/>
    </row>
    <row r="40" spans="1:20">
      <c r="A40" s="22">
        <v>41884</v>
      </c>
      <c r="B40" s="20" t="s">
        <v>12</v>
      </c>
      <c r="C40" s="33">
        <f t="shared" si="5"/>
        <v>41884</v>
      </c>
      <c r="D40" s="33"/>
      <c r="E40" s="72"/>
      <c r="F40" s="72"/>
      <c r="G40" s="72"/>
      <c r="H40" s="72"/>
      <c r="I40" s="2"/>
      <c r="J40" s="738"/>
      <c r="K40" s="738"/>
      <c r="L40" s="738"/>
      <c r="M40" s="738"/>
      <c r="N40" s="738"/>
      <c r="O40" s="738"/>
      <c r="P40" s="738"/>
      <c r="Q40" s="70"/>
      <c r="R40" s="2"/>
      <c r="S40" s="2"/>
      <c r="T40" s="2"/>
    </row>
    <row r="41" spans="1:20">
      <c r="A41" s="22">
        <v>41954</v>
      </c>
      <c r="B41" s="20" t="s">
        <v>3</v>
      </c>
      <c r="C41" s="33">
        <f t="shared" si="5"/>
        <v>41954</v>
      </c>
      <c r="D41" s="33"/>
      <c r="E41" s="72"/>
      <c r="F41" s="72"/>
      <c r="G41" s="72"/>
      <c r="H41" s="72"/>
      <c r="I41" s="2"/>
      <c r="J41" s="738"/>
      <c r="K41" s="738"/>
      <c r="L41" s="738"/>
      <c r="M41" s="738"/>
      <c r="N41" s="738"/>
      <c r="O41" s="738"/>
      <c r="P41" s="738"/>
      <c r="Q41" s="70"/>
      <c r="R41" s="2"/>
      <c r="S41" s="2"/>
      <c r="T41" s="2"/>
    </row>
    <row r="42" spans="1:20">
      <c r="A42" s="22">
        <v>41970</v>
      </c>
      <c r="B42" s="20" t="s">
        <v>4</v>
      </c>
      <c r="C42" s="33">
        <f t="shared" si="5"/>
        <v>41970</v>
      </c>
      <c r="D42" s="33"/>
      <c r="E42" s="72"/>
      <c r="F42" s="72"/>
      <c r="G42" s="72"/>
      <c r="H42" s="72"/>
      <c r="I42" s="2"/>
      <c r="J42" s="738"/>
      <c r="K42" s="738"/>
      <c r="L42" s="738"/>
      <c r="M42" s="738"/>
      <c r="N42" s="738"/>
      <c r="O42" s="738"/>
      <c r="P42" s="738"/>
      <c r="Q42" s="70"/>
      <c r="R42" s="2"/>
      <c r="S42" s="2"/>
      <c r="T42" s="2"/>
    </row>
    <row r="43" spans="1:20">
      <c r="A43" s="22">
        <v>41998</v>
      </c>
      <c r="B43" s="20" t="s">
        <v>6</v>
      </c>
      <c r="C43" s="33">
        <f t="shared" si="5"/>
        <v>41998</v>
      </c>
      <c r="D43" s="33"/>
      <c r="E43" s="72"/>
      <c r="F43" s="72"/>
      <c r="G43" s="72"/>
      <c r="H43" s="72"/>
      <c r="I43" s="2"/>
      <c r="J43" s="738"/>
      <c r="K43" s="738"/>
      <c r="L43" s="738"/>
      <c r="M43" s="738"/>
      <c r="N43" s="738"/>
      <c r="O43" s="738"/>
      <c r="P43" s="738"/>
      <c r="Q43" s="70"/>
      <c r="R43" s="2"/>
      <c r="S43" s="2"/>
      <c r="T43" s="2"/>
    </row>
    <row r="44" spans="1:20">
      <c r="A44" s="22">
        <v>42005</v>
      </c>
      <c r="B44" s="20" t="s">
        <v>7</v>
      </c>
      <c r="C44" s="33">
        <f t="shared" si="5"/>
        <v>42005</v>
      </c>
      <c r="D44" s="33"/>
      <c r="E44" s="72"/>
      <c r="F44" s="72"/>
      <c r="G44" s="72"/>
      <c r="H44" s="72"/>
      <c r="I44" s="2"/>
      <c r="J44" s="738"/>
      <c r="K44" s="738"/>
      <c r="L44" s="738"/>
      <c r="M44" s="738"/>
      <c r="N44" s="738"/>
      <c r="O44" s="738"/>
      <c r="P44" s="738"/>
      <c r="Q44" s="70"/>
      <c r="R44" s="2"/>
      <c r="S44" s="2"/>
      <c r="T44" s="2"/>
    </row>
    <row r="45" spans="1:20">
      <c r="A45" s="22">
        <v>42023</v>
      </c>
      <c r="B45" s="20" t="s">
        <v>8</v>
      </c>
      <c r="C45" s="33">
        <f t="shared" si="5"/>
        <v>42023</v>
      </c>
      <c r="D45" s="33"/>
      <c r="E45" s="72"/>
      <c r="F45" s="72"/>
      <c r="G45" s="72"/>
      <c r="H45" s="72"/>
      <c r="I45" s="2"/>
      <c r="J45" s="738"/>
      <c r="K45" s="738"/>
      <c r="L45" s="738"/>
      <c r="M45" s="738"/>
      <c r="N45" s="738"/>
      <c r="O45" s="738"/>
      <c r="P45" s="738"/>
      <c r="Q45" s="70"/>
      <c r="R45" s="2"/>
      <c r="S45" s="2"/>
      <c r="T45" s="2"/>
    </row>
    <row r="46" spans="1:20">
      <c r="A46" s="22">
        <v>42051</v>
      </c>
      <c r="B46" s="20" t="s">
        <v>9</v>
      </c>
      <c r="C46" s="33">
        <f t="shared" si="5"/>
        <v>42051</v>
      </c>
      <c r="D46" s="33"/>
      <c r="E46" s="72"/>
      <c r="F46" s="72"/>
      <c r="G46" s="72"/>
      <c r="H46" s="72"/>
      <c r="I46" s="2"/>
      <c r="J46" s="738"/>
      <c r="K46" s="738"/>
      <c r="L46" s="738"/>
      <c r="M46" s="738"/>
      <c r="N46" s="738"/>
      <c r="O46" s="738"/>
      <c r="P46" s="738"/>
      <c r="Q46" s="70"/>
      <c r="R46" s="2"/>
      <c r="S46" s="2"/>
      <c r="T46" s="2"/>
    </row>
    <row r="47" spans="1:20">
      <c r="A47" s="22">
        <v>42149</v>
      </c>
      <c r="B47" s="20" t="s">
        <v>10</v>
      </c>
      <c r="C47" s="33">
        <f t="shared" si="5"/>
        <v>42149</v>
      </c>
      <c r="D47" s="33"/>
      <c r="E47" s="72"/>
      <c r="F47" s="72"/>
      <c r="G47" s="72"/>
      <c r="H47" s="72"/>
      <c r="I47" s="2"/>
      <c r="J47" s="738"/>
      <c r="K47" s="738"/>
      <c r="L47" s="738"/>
      <c r="M47" s="738"/>
      <c r="N47" s="738"/>
      <c r="O47" s="738"/>
      <c r="P47" s="738"/>
      <c r="Q47" s="70"/>
      <c r="R47" s="2"/>
      <c r="S47" s="2"/>
      <c r="T47" s="2"/>
    </row>
    <row r="48" spans="1:20">
      <c r="A48" s="22">
        <v>42188</v>
      </c>
      <c r="B48" s="20" t="s">
        <v>11</v>
      </c>
      <c r="C48" s="33">
        <f t="shared" si="5"/>
        <v>42188</v>
      </c>
      <c r="D48" s="33"/>
      <c r="E48" s="72"/>
      <c r="F48" s="72"/>
      <c r="G48" s="72"/>
      <c r="H48" s="72"/>
      <c r="I48" s="2"/>
      <c r="J48" s="738"/>
      <c r="K48" s="738"/>
      <c r="L48" s="738"/>
      <c r="M48" s="738"/>
      <c r="N48" s="738"/>
      <c r="O48" s="738"/>
      <c r="P48" s="738"/>
      <c r="Q48" s="70"/>
      <c r="R48" s="2"/>
      <c r="S48" s="2"/>
      <c r="T48" s="2"/>
    </row>
    <row r="49" spans="1:20">
      <c r="A49" s="22">
        <v>42254</v>
      </c>
      <c r="B49" s="20" t="s">
        <v>12</v>
      </c>
      <c r="C49" s="33">
        <f t="shared" si="5"/>
        <v>42254</v>
      </c>
      <c r="D49" s="33"/>
      <c r="E49" s="72"/>
      <c r="F49" s="72"/>
      <c r="G49" s="72"/>
      <c r="H49" s="72"/>
      <c r="I49" s="2"/>
      <c r="J49" s="738"/>
      <c r="K49" s="738"/>
      <c r="L49" s="738"/>
      <c r="M49" s="738"/>
      <c r="N49" s="738"/>
      <c r="O49" s="738"/>
      <c r="P49" s="738"/>
      <c r="Q49" s="70"/>
      <c r="R49" s="2"/>
      <c r="S49" s="2"/>
      <c r="T49" s="2"/>
    </row>
    <row r="50" spans="1:20">
      <c r="A50" s="22">
        <v>42319</v>
      </c>
      <c r="B50" s="20" t="s">
        <v>3</v>
      </c>
      <c r="C50" s="33">
        <f t="shared" si="5"/>
        <v>42319</v>
      </c>
      <c r="D50" s="33"/>
      <c r="E50" s="72"/>
      <c r="F50" s="72"/>
      <c r="G50" s="72"/>
      <c r="H50" s="72"/>
      <c r="I50" s="2"/>
      <c r="J50" s="738"/>
      <c r="K50" s="738"/>
      <c r="L50" s="738"/>
      <c r="M50" s="738"/>
      <c r="N50" s="738"/>
      <c r="O50" s="738"/>
      <c r="P50" s="738"/>
      <c r="Q50" s="70"/>
      <c r="R50" s="2"/>
      <c r="S50" s="2"/>
      <c r="T50" s="2"/>
    </row>
    <row r="51" spans="1:20">
      <c r="A51" s="22">
        <v>42334</v>
      </c>
      <c r="B51" s="20" t="s">
        <v>4</v>
      </c>
      <c r="C51" s="33">
        <f t="shared" si="5"/>
        <v>42334</v>
      </c>
      <c r="D51" s="33"/>
      <c r="E51" s="72"/>
      <c r="F51" s="72"/>
      <c r="G51" s="72"/>
      <c r="H51" s="72"/>
      <c r="I51" s="2"/>
      <c r="J51" s="738"/>
      <c r="K51" s="738"/>
      <c r="L51" s="738"/>
      <c r="M51" s="738"/>
      <c r="N51" s="738"/>
      <c r="O51" s="738"/>
      <c r="P51" s="738"/>
      <c r="Q51" s="70"/>
      <c r="R51" s="2"/>
      <c r="S51" s="2"/>
      <c r="T51" s="2"/>
    </row>
    <row r="52" spans="1:20">
      <c r="A52" s="22">
        <v>42363</v>
      </c>
      <c r="B52" s="20" t="s">
        <v>6</v>
      </c>
      <c r="C52" s="33">
        <f t="shared" si="5"/>
        <v>42363</v>
      </c>
      <c r="D52" s="33"/>
      <c r="E52" s="72"/>
      <c r="F52" s="72"/>
      <c r="G52" s="72"/>
      <c r="H52" s="72"/>
      <c r="I52" s="2"/>
      <c r="J52" s="738"/>
      <c r="K52" s="738"/>
      <c r="L52" s="738"/>
      <c r="M52" s="738"/>
      <c r="N52" s="738"/>
      <c r="O52" s="738"/>
      <c r="P52" s="738"/>
      <c r="Q52" s="70"/>
      <c r="R52" s="2"/>
      <c r="S52" s="2"/>
      <c r="T52" s="2"/>
    </row>
    <row r="53" spans="1:20">
      <c r="A53" s="22">
        <v>42370</v>
      </c>
      <c r="B53" s="20" t="s">
        <v>7</v>
      </c>
      <c r="C53" s="33">
        <f t="shared" ref="C53:C61" si="6">A53</f>
        <v>42370</v>
      </c>
      <c r="D53" s="33"/>
      <c r="E53" s="72"/>
      <c r="F53" s="72"/>
      <c r="G53" s="72"/>
      <c r="H53" s="72"/>
      <c r="I53" s="2"/>
      <c r="J53" s="738"/>
      <c r="K53" s="738"/>
      <c r="L53" s="738"/>
      <c r="M53" s="738"/>
      <c r="N53" s="738"/>
      <c r="O53" s="738"/>
      <c r="P53" s="738"/>
      <c r="Q53" s="70"/>
      <c r="R53" s="2"/>
      <c r="S53" s="2"/>
      <c r="T53" s="2"/>
    </row>
    <row r="54" spans="1:20">
      <c r="A54" s="22">
        <v>42387</v>
      </c>
      <c r="B54" s="20" t="s">
        <v>8</v>
      </c>
      <c r="C54" s="33">
        <f t="shared" si="6"/>
        <v>42387</v>
      </c>
      <c r="D54" s="33"/>
      <c r="E54" s="72"/>
      <c r="F54" s="72"/>
      <c r="G54" s="72"/>
      <c r="H54" s="72"/>
      <c r="I54" s="2"/>
      <c r="J54" s="738"/>
      <c r="K54" s="738"/>
      <c r="L54" s="738"/>
      <c r="M54" s="738"/>
      <c r="N54" s="738"/>
      <c r="O54" s="738"/>
      <c r="P54" s="738"/>
      <c r="Q54" s="70"/>
      <c r="R54" s="2"/>
      <c r="S54" s="2"/>
      <c r="T54" s="2"/>
    </row>
    <row r="55" spans="1:20">
      <c r="A55" s="22">
        <v>42415</v>
      </c>
      <c r="B55" s="20" t="s">
        <v>9</v>
      </c>
      <c r="C55" s="33">
        <f t="shared" si="6"/>
        <v>42415</v>
      </c>
      <c r="D55" s="33"/>
      <c r="E55" s="72"/>
      <c r="F55" s="72"/>
      <c r="G55" s="72"/>
      <c r="H55" s="72"/>
      <c r="I55" s="2"/>
      <c r="J55" s="738"/>
      <c r="K55" s="738"/>
      <c r="L55" s="738"/>
      <c r="M55" s="738"/>
      <c r="N55" s="738"/>
      <c r="O55" s="738"/>
      <c r="P55" s="738"/>
      <c r="Q55" s="70"/>
      <c r="R55" s="2"/>
      <c r="S55" s="2"/>
      <c r="T55" s="2"/>
    </row>
    <row r="56" spans="1:20">
      <c r="A56" s="22">
        <v>42520</v>
      </c>
      <c r="B56" s="20" t="s">
        <v>10</v>
      </c>
      <c r="C56" s="33">
        <f t="shared" si="6"/>
        <v>42520</v>
      </c>
      <c r="D56" s="33"/>
      <c r="E56" s="72"/>
      <c r="F56" s="72"/>
      <c r="G56" s="72"/>
      <c r="H56" s="72"/>
      <c r="I56" s="2"/>
      <c r="J56" s="738"/>
      <c r="K56" s="738"/>
      <c r="L56" s="738"/>
      <c r="M56" s="738"/>
      <c r="N56" s="738"/>
      <c r="O56" s="738"/>
      <c r="P56" s="738"/>
      <c r="Q56" s="70"/>
      <c r="R56" s="2"/>
      <c r="S56" s="2"/>
      <c r="T56" s="2"/>
    </row>
    <row r="57" spans="1:20">
      <c r="A57" s="22">
        <v>42555</v>
      </c>
      <c r="B57" s="20" t="s">
        <v>11</v>
      </c>
      <c r="C57" s="33">
        <f t="shared" si="6"/>
        <v>42555</v>
      </c>
      <c r="D57" s="33"/>
      <c r="E57" s="72"/>
      <c r="F57" s="72"/>
      <c r="G57" s="72"/>
      <c r="H57" s="72"/>
      <c r="I57" s="2"/>
      <c r="J57" s="738"/>
      <c r="K57" s="738"/>
      <c r="L57" s="738"/>
      <c r="M57" s="738"/>
      <c r="N57" s="738"/>
      <c r="O57" s="738"/>
      <c r="P57" s="738"/>
      <c r="Q57" s="70"/>
      <c r="R57" s="2"/>
      <c r="S57" s="2"/>
      <c r="T57" s="2"/>
    </row>
    <row r="58" spans="1:20">
      <c r="A58" s="22">
        <v>42618</v>
      </c>
      <c r="B58" s="20" t="s">
        <v>12</v>
      </c>
      <c r="C58" s="33">
        <f t="shared" si="6"/>
        <v>42618</v>
      </c>
      <c r="D58" s="33"/>
      <c r="E58" s="72"/>
      <c r="F58" s="72"/>
      <c r="G58" s="72"/>
      <c r="H58" s="72"/>
      <c r="I58" s="2"/>
      <c r="J58" s="738"/>
      <c r="K58" s="738"/>
      <c r="L58" s="738"/>
      <c r="M58" s="738"/>
      <c r="N58" s="738"/>
      <c r="O58" s="738"/>
      <c r="P58" s="738"/>
      <c r="Q58" s="70"/>
      <c r="R58" s="2"/>
      <c r="S58" s="2"/>
      <c r="T58" s="2"/>
    </row>
    <row r="59" spans="1:20">
      <c r="A59" s="22">
        <v>42685</v>
      </c>
      <c r="B59" s="20" t="s">
        <v>3</v>
      </c>
      <c r="C59" s="33">
        <f t="shared" si="6"/>
        <v>42685</v>
      </c>
      <c r="D59" s="33"/>
      <c r="E59" s="72"/>
      <c r="F59" s="72"/>
      <c r="G59" s="72"/>
      <c r="H59" s="72"/>
      <c r="I59" s="2"/>
      <c r="J59" s="738"/>
      <c r="K59" s="738"/>
      <c r="L59" s="738"/>
      <c r="M59" s="738"/>
      <c r="N59" s="738"/>
      <c r="O59" s="738"/>
      <c r="P59" s="738"/>
      <c r="Q59" s="70"/>
      <c r="R59" s="2"/>
      <c r="S59" s="2"/>
      <c r="T59" s="2"/>
    </row>
    <row r="60" spans="1:20">
      <c r="A60" s="22">
        <v>42698</v>
      </c>
      <c r="B60" s="20" t="s">
        <v>4</v>
      </c>
      <c r="C60" s="33">
        <f t="shared" si="6"/>
        <v>42698</v>
      </c>
      <c r="D60" s="33"/>
      <c r="E60" s="72"/>
      <c r="F60" s="72"/>
      <c r="G60" s="72"/>
      <c r="H60" s="72"/>
      <c r="I60" s="2"/>
      <c r="J60" s="738"/>
      <c r="K60" s="738"/>
      <c r="L60" s="738"/>
      <c r="M60" s="738"/>
      <c r="N60" s="738"/>
      <c r="O60" s="738"/>
      <c r="P60" s="738"/>
      <c r="Q60" s="70"/>
      <c r="R60" s="2"/>
      <c r="S60" s="2"/>
      <c r="T60" s="2"/>
    </row>
    <row r="61" spans="1:20">
      <c r="A61" s="22">
        <v>42730</v>
      </c>
      <c r="B61" s="20" t="s">
        <v>6</v>
      </c>
      <c r="C61" s="33">
        <f t="shared" si="6"/>
        <v>42730</v>
      </c>
      <c r="D61" s="33"/>
      <c r="E61" s="72"/>
      <c r="F61" s="72"/>
      <c r="G61" s="72"/>
      <c r="H61" s="72"/>
      <c r="I61" s="2"/>
      <c r="J61" s="738"/>
      <c r="K61" s="738"/>
      <c r="L61" s="738"/>
      <c r="M61" s="738"/>
      <c r="N61" s="738"/>
      <c r="O61" s="738"/>
      <c r="P61" s="738"/>
      <c r="Q61" s="70"/>
      <c r="R61" s="2"/>
      <c r="S61" s="2"/>
      <c r="T61" s="2"/>
    </row>
    <row r="62" spans="1:20">
      <c r="A62" s="22">
        <v>42737</v>
      </c>
      <c r="B62" s="20" t="s">
        <v>7</v>
      </c>
      <c r="C62" s="33">
        <f t="shared" ref="C62:C70" si="7">A62</f>
        <v>42737</v>
      </c>
      <c r="D62" s="33"/>
      <c r="E62" s="72"/>
      <c r="F62" s="72"/>
      <c r="G62" s="72"/>
      <c r="H62" s="72"/>
      <c r="I62" s="2"/>
      <c r="J62" s="738"/>
      <c r="K62" s="738"/>
      <c r="L62" s="738"/>
      <c r="M62" s="738"/>
      <c r="N62" s="738"/>
      <c r="O62" s="738"/>
      <c r="P62" s="738"/>
      <c r="Q62" s="70"/>
      <c r="R62" s="2"/>
      <c r="S62" s="2"/>
      <c r="T62" s="2"/>
    </row>
    <row r="63" spans="1:20">
      <c r="A63" s="22">
        <v>42751</v>
      </c>
      <c r="B63" s="20" t="s">
        <v>8</v>
      </c>
      <c r="C63" s="33">
        <f t="shared" si="7"/>
        <v>42751</v>
      </c>
      <c r="D63" s="33"/>
      <c r="E63" s="72"/>
      <c r="F63" s="72"/>
      <c r="G63" s="72"/>
      <c r="H63" s="72"/>
      <c r="I63" s="2"/>
      <c r="J63" s="738"/>
      <c r="K63" s="738"/>
      <c r="L63" s="738"/>
      <c r="M63" s="738"/>
      <c r="N63" s="738"/>
      <c r="O63" s="738"/>
      <c r="P63" s="738"/>
      <c r="Q63" s="70"/>
      <c r="R63" s="2"/>
      <c r="S63" s="2"/>
      <c r="T63" s="2"/>
    </row>
    <row r="64" spans="1:20">
      <c r="A64" s="22">
        <v>42786</v>
      </c>
      <c r="B64" s="20" t="s">
        <v>9</v>
      </c>
      <c r="C64" s="33">
        <f t="shared" si="7"/>
        <v>42786</v>
      </c>
      <c r="D64" s="33"/>
      <c r="E64" s="72"/>
      <c r="F64" s="72"/>
      <c r="G64" s="72"/>
      <c r="H64" s="72"/>
      <c r="I64" s="2"/>
      <c r="J64" s="738"/>
      <c r="K64" s="738"/>
      <c r="L64" s="738"/>
      <c r="M64" s="738"/>
      <c r="N64" s="738"/>
      <c r="O64" s="738"/>
      <c r="P64" s="738"/>
      <c r="Q64" s="70"/>
      <c r="R64" s="2"/>
      <c r="S64" s="2"/>
      <c r="T64" s="2"/>
    </row>
    <row r="65" spans="1:20">
      <c r="A65" s="22">
        <v>42884</v>
      </c>
      <c r="B65" s="20" t="s">
        <v>10</v>
      </c>
      <c r="C65" s="33">
        <f t="shared" si="7"/>
        <v>42884</v>
      </c>
      <c r="D65" s="33"/>
      <c r="E65" s="72"/>
      <c r="F65" s="72"/>
      <c r="G65" s="72"/>
      <c r="H65" s="72"/>
      <c r="I65" s="2"/>
      <c r="J65" s="738"/>
      <c r="K65" s="738"/>
      <c r="L65" s="738"/>
      <c r="M65" s="738"/>
      <c r="N65" s="738"/>
      <c r="O65" s="738"/>
      <c r="P65" s="738"/>
      <c r="Q65" s="70"/>
      <c r="R65" s="2"/>
      <c r="S65" s="2"/>
      <c r="T65" s="2"/>
    </row>
    <row r="66" spans="1:20">
      <c r="A66" s="22">
        <v>42920</v>
      </c>
      <c r="B66" s="20" t="s">
        <v>11</v>
      </c>
      <c r="C66" s="33">
        <f t="shared" si="7"/>
        <v>42920</v>
      </c>
      <c r="D66" s="33"/>
      <c r="E66" s="72"/>
      <c r="F66" s="72"/>
      <c r="G66" s="72"/>
      <c r="H66" s="72"/>
      <c r="I66" s="2"/>
      <c r="J66" s="738"/>
      <c r="K66" s="738"/>
      <c r="L66" s="738"/>
      <c r="M66" s="738"/>
      <c r="N66" s="738"/>
      <c r="O66" s="738"/>
      <c r="P66" s="738"/>
      <c r="Q66" s="70"/>
      <c r="R66" s="2"/>
      <c r="S66" s="2"/>
      <c r="T66" s="2"/>
    </row>
    <row r="67" spans="1:20">
      <c r="A67" s="22">
        <v>42982</v>
      </c>
      <c r="B67" s="20" t="s">
        <v>12</v>
      </c>
      <c r="C67" s="33">
        <f t="shared" si="7"/>
        <v>42982</v>
      </c>
      <c r="D67" s="33"/>
      <c r="E67" s="72"/>
      <c r="F67" s="72"/>
      <c r="G67" s="72"/>
      <c r="H67" s="72"/>
      <c r="I67" s="2"/>
      <c r="J67" s="738"/>
      <c r="K67" s="738"/>
      <c r="L67" s="738"/>
      <c r="M67" s="738"/>
      <c r="N67" s="738"/>
      <c r="O67" s="738"/>
      <c r="P67" s="738"/>
      <c r="Q67" s="70"/>
      <c r="R67" s="2"/>
      <c r="S67" s="2"/>
      <c r="T67" s="2"/>
    </row>
    <row r="68" spans="1:20">
      <c r="A68" s="22">
        <v>43049</v>
      </c>
      <c r="B68" s="20" t="s">
        <v>3</v>
      </c>
      <c r="C68" s="33">
        <f t="shared" si="7"/>
        <v>43049</v>
      </c>
      <c r="D68" s="33"/>
      <c r="E68" s="72"/>
      <c r="F68" s="72"/>
      <c r="G68" s="72"/>
      <c r="H68" s="72"/>
      <c r="I68" s="2"/>
      <c r="J68" s="738"/>
      <c r="K68" s="738"/>
      <c r="L68" s="738"/>
      <c r="M68" s="738"/>
      <c r="N68" s="738"/>
      <c r="O68" s="738"/>
      <c r="P68" s="738"/>
      <c r="Q68" s="70"/>
      <c r="R68" s="2"/>
      <c r="S68" s="2"/>
      <c r="T68" s="2"/>
    </row>
    <row r="69" spans="1:20">
      <c r="A69" s="22">
        <v>43062</v>
      </c>
      <c r="B69" s="20" t="s">
        <v>4</v>
      </c>
      <c r="C69" s="33">
        <f t="shared" si="7"/>
        <v>43062</v>
      </c>
      <c r="D69" s="33"/>
      <c r="E69" s="72"/>
      <c r="F69" s="72"/>
      <c r="G69" s="72"/>
      <c r="H69" s="72"/>
      <c r="I69" s="2"/>
      <c r="J69" s="738"/>
      <c r="K69" s="738"/>
      <c r="L69" s="738"/>
      <c r="M69" s="738"/>
      <c r="N69" s="738"/>
      <c r="O69" s="738"/>
      <c r="P69" s="738"/>
      <c r="Q69" s="70"/>
      <c r="R69" s="2"/>
      <c r="S69" s="2"/>
      <c r="T69" s="2"/>
    </row>
    <row r="70" spans="1:20">
      <c r="A70" s="22">
        <v>43094</v>
      </c>
      <c r="B70" s="20" t="s">
        <v>6</v>
      </c>
      <c r="C70" s="33">
        <f t="shared" si="7"/>
        <v>43094</v>
      </c>
      <c r="D70" s="33"/>
      <c r="E70" s="72"/>
      <c r="F70" s="72"/>
      <c r="G70" s="72"/>
      <c r="H70" s="72"/>
      <c r="I70" s="2"/>
      <c r="J70" s="738"/>
      <c r="K70" s="738"/>
      <c r="L70" s="738"/>
      <c r="M70" s="738"/>
      <c r="N70" s="738"/>
      <c r="O70" s="738"/>
      <c r="P70" s="738"/>
      <c r="Q70" s="70"/>
      <c r="R70" s="2"/>
      <c r="S70" s="2"/>
      <c r="T70" s="2"/>
    </row>
    <row r="71" spans="1:20">
      <c r="A71" s="22">
        <v>43101</v>
      </c>
      <c r="B71" s="20" t="s">
        <v>7</v>
      </c>
      <c r="C71" s="33">
        <f t="shared" si="5"/>
        <v>43101</v>
      </c>
      <c r="D71" s="33"/>
      <c r="E71" s="72"/>
      <c r="F71" s="72"/>
      <c r="G71" s="72"/>
      <c r="H71" s="72"/>
      <c r="I71" s="2"/>
      <c r="J71" s="738"/>
      <c r="K71" s="738"/>
      <c r="L71" s="738"/>
      <c r="M71" s="738"/>
      <c r="N71" s="738"/>
      <c r="O71" s="738"/>
      <c r="P71" s="738"/>
      <c r="Q71" s="70"/>
      <c r="R71" s="2"/>
      <c r="S71" s="2"/>
      <c r="T71" s="2"/>
    </row>
    <row r="72" spans="1:20">
      <c r="A72" s="18" t="s">
        <v>25</v>
      </c>
      <c r="B72" s="19"/>
      <c r="C72" s="7"/>
      <c r="D72" s="7"/>
      <c r="E72" s="73"/>
      <c r="F72" s="73"/>
      <c r="G72" s="73"/>
      <c r="H72" s="73"/>
      <c r="I72" s="2"/>
      <c r="J72" s="738"/>
      <c r="K72" s="738"/>
      <c r="L72" s="738"/>
      <c r="M72" s="738"/>
      <c r="N72" s="738"/>
      <c r="O72" s="738"/>
      <c r="P72" s="738"/>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0"/>
  <sheetViews>
    <sheetView showGridLines="0" tabSelected="1" zoomScaleNormal="100" workbookViewId="0"/>
  </sheetViews>
  <sheetFormatPr defaultRowHeight="14.25" outlineLevelRow="2" outlineLevelCol="1"/>
  <cols>
    <col min="1" max="1" width="1.5" customWidth="1"/>
    <col min="2" max="2" width="43.625" customWidth="1"/>
    <col min="3" max="3" width="2.5" style="719"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50" hidden="1" customWidth="1" outlineLevel="1"/>
    <col min="707" max="707" width="3.375" style="550" hidden="1" customWidth="1" outlineLevel="1"/>
    <col min="708" max="708" width="4.5" style="54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60"/>
      <c r="B1" s="603" t="s">
        <v>0</v>
      </c>
      <c r="C1" s="694"/>
      <c r="D1" s="604"/>
      <c r="E1" s="605"/>
      <c r="F1" s="606"/>
      <c r="G1" s="607"/>
      <c r="H1" s="610"/>
      <c r="I1" s="590"/>
      <c r="J1" s="608"/>
      <c r="K1" s="609"/>
      <c r="L1" s="609"/>
      <c r="M1" s="609"/>
      <c r="N1" s="609"/>
      <c r="O1" s="609"/>
      <c r="P1" s="609"/>
      <c r="Q1" s="609"/>
      <c r="R1" s="609"/>
      <c r="S1" s="609"/>
      <c r="T1" s="609"/>
      <c r="U1" s="609"/>
      <c r="V1" s="609"/>
      <c r="W1" s="609"/>
      <c r="X1" s="609"/>
      <c r="Y1" s="609"/>
      <c r="Z1" s="609"/>
      <c r="AA1" s="609"/>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c r="CU1" s="609"/>
      <c r="CV1" s="609"/>
      <c r="CW1" s="609"/>
      <c r="CX1" s="609"/>
      <c r="CY1" s="609"/>
      <c r="CZ1" s="609"/>
      <c r="DA1" s="609"/>
      <c r="DB1" s="609"/>
      <c r="DC1" s="609"/>
      <c r="DD1" s="609"/>
      <c r="DE1" s="609"/>
      <c r="DF1" s="609"/>
      <c r="DG1" s="609"/>
      <c r="DH1" s="609"/>
      <c r="DI1" s="609"/>
      <c r="DJ1" s="609"/>
      <c r="DK1" s="609"/>
      <c r="DL1" s="609"/>
      <c r="DM1" s="609"/>
      <c r="DN1" s="609"/>
      <c r="DO1" s="609"/>
      <c r="DP1" s="609"/>
      <c r="DQ1" s="609"/>
      <c r="DR1" s="609"/>
      <c r="DS1" s="609"/>
      <c r="DT1" s="609"/>
      <c r="DU1" s="609"/>
      <c r="DV1" s="609"/>
      <c r="DW1" s="609"/>
      <c r="DX1" s="609"/>
      <c r="DY1" s="609"/>
      <c r="DZ1" s="609"/>
      <c r="EA1" s="609"/>
      <c r="EB1" s="609"/>
      <c r="EC1" s="609"/>
      <c r="ED1" s="609"/>
      <c r="EE1" s="609"/>
      <c r="EF1" s="609"/>
      <c r="EG1" s="609"/>
      <c r="EH1" s="609"/>
      <c r="EI1" s="609"/>
      <c r="EJ1" s="609"/>
      <c r="EK1" s="609"/>
      <c r="EL1" s="609"/>
      <c r="EM1" s="609"/>
      <c r="EN1" s="609"/>
      <c r="EO1" s="609"/>
      <c r="EP1" s="609"/>
      <c r="EQ1" s="609"/>
      <c r="ER1" s="609"/>
      <c r="ES1" s="609"/>
      <c r="ET1" s="609"/>
      <c r="EU1" s="609"/>
      <c r="EV1" s="609"/>
      <c r="EW1" s="609"/>
      <c r="EX1" s="609"/>
      <c r="EY1" s="609"/>
      <c r="EZ1" s="609"/>
      <c r="FA1" s="609"/>
      <c r="FB1" s="609"/>
      <c r="FC1" s="609"/>
      <c r="FD1" s="609"/>
      <c r="FE1" s="609"/>
      <c r="FF1" s="609"/>
      <c r="FG1" s="609"/>
      <c r="FH1" s="609"/>
      <c r="FI1" s="609"/>
      <c r="FJ1" s="609"/>
      <c r="FK1" s="609"/>
      <c r="FL1" s="609"/>
      <c r="FM1" s="609"/>
      <c r="FN1" s="609"/>
      <c r="FO1" s="609"/>
      <c r="FP1" s="609"/>
      <c r="FQ1" s="609"/>
      <c r="FR1" s="609"/>
      <c r="FS1" s="609"/>
      <c r="FT1" s="609"/>
      <c r="FU1" s="609"/>
      <c r="FV1" s="609"/>
      <c r="FW1" s="609"/>
      <c r="FX1" s="609"/>
      <c r="FY1" s="609"/>
      <c r="FZ1" s="609"/>
      <c r="GA1" s="609"/>
      <c r="GB1" s="609"/>
      <c r="GC1" s="609"/>
      <c r="GD1" s="609"/>
      <c r="GE1" s="609"/>
      <c r="GF1" s="609"/>
      <c r="GG1" s="609"/>
      <c r="GH1" s="609"/>
      <c r="GI1" s="609"/>
      <c r="GJ1" s="609"/>
      <c r="GK1" s="609"/>
      <c r="GL1" s="609"/>
      <c r="GM1" s="609"/>
      <c r="GN1" s="609"/>
      <c r="GO1" s="609"/>
      <c r="GP1" s="609"/>
      <c r="GQ1" s="609"/>
      <c r="GR1" s="609"/>
      <c r="GS1" s="609"/>
      <c r="GT1" s="609"/>
      <c r="GU1" s="609"/>
      <c r="GV1" s="609"/>
      <c r="GW1" s="609"/>
      <c r="GX1" s="609"/>
      <c r="GY1" s="609"/>
      <c r="GZ1" s="609"/>
      <c r="HA1" s="609"/>
      <c r="HB1" s="609"/>
      <c r="HC1" s="609"/>
      <c r="HD1" s="609"/>
      <c r="HE1" s="609"/>
      <c r="HF1" s="609"/>
      <c r="HG1" s="609"/>
      <c r="HH1" s="609"/>
      <c r="HI1" s="609"/>
      <c r="HJ1" s="609"/>
      <c r="HK1" s="609"/>
      <c r="HL1" s="609"/>
      <c r="HM1" s="609"/>
      <c r="HN1" s="609"/>
      <c r="HO1" s="609"/>
      <c r="HP1" s="609"/>
      <c r="HQ1" s="609"/>
      <c r="HR1" s="609"/>
      <c r="HS1" s="609"/>
      <c r="HT1" s="609"/>
      <c r="HU1" s="609"/>
      <c r="HV1" s="609"/>
      <c r="HW1" s="609"/>
      <c r="HX1" s="609"/>
      <c r="HY1" s="609"/>
      <c r="HZ1" s="609"/>
      <c r="IA1" s="609"/>
      <c r="IB1" s="609"/>
      <c r="IC1" s="609"/>
      <c r="ID1" s="609"/>
      <c r="IE1" s="609"/>
      <c r="IF1" s="609"/>
      <c r="IG1" s="609"/>
      <c r="IH1" s="609"/>
      <c r="II1" s="609"/>
      <c r="IJ1" s="609"/>
      <c r="IK1" s="609"/>
      <c r="IL1" s="609"/>
      <c r="IM1" s="609"/>
      <c r="IN1" s="609"/>
      <c r="IO1" s="609"/>
      <c r="IP1" s="609"/>
      <c r="IQ1" s="609"/>
      <c r="IR1" s="609"/>
      <c r="IS1" s="609"/>
      <c r="IT1" s="609"/>
      <c r="IU1" s="609"/>
      <c r="IV1" s="609"/>
      <c r="IW1" s="609"/>
      <c r="IX1" s="609"/>
      <c r="IY1" s="609"/>
      <c r="IZ1" s="609"/>
      <c r="JA1" s="609"/>
      <c r="JB1" s="609"/>
      <c r="JC1" s="609"/>
      <c r="JD1" s="609"/>
      <c r="JE1" s="609"/>
      <c r="JF1" s="609"/>
      <c r="JG1" s="609"/>
      <c r="JH1" s="609"/>
      <c r="JI1" s="609"/>
      <c r="JJ1" s="609"/>
      <c r="JK1" s="609"/>
      <c r="JL1" s="609"/>
      <c r="JM1" s="609"/>
      <c r="JN1" s="609"/>
      <c r="JO1" s="609"/>
      <c r="JP1" s="609"/>
      <c r="JQ1" s="609"/>
      <c r="JR1" s="609"/>
      <c r="JS1" s="609"/>
      <c r="JT1" s="609"/>
      <c r="JU1" s="609"/>
      <c r="JV1" s="609"/>
      <c r="JW1" s="609"/>
      <c r="JX1" s="609"/>
      <c r="JY1" s="609"/>
      <c r="JZ1" s="609"/>
      <c r="KA1" s="609"/>
      <c r="KB1" s="609"/>
      <c r="KC1" s="609"/>
      <c r="KD1" s="609"/>
      <c r="KE1" s="609"/>
      <c r="KF1" s="609"/>
      <c r="KG1" s="609"/>
      <c r="KH1" s="609"/>
      <c r="KI1" s="609"/>
      <c r="KJ1" s="609"/>
      <c r="KK1" s="609"/>
      <c r="KL1" s="609"/>
      <c r="KM1" s="609"/>
      <c r="KN1" s="609"/>
      <c r="KO1" s="609"/>
      <c r="KP1" s="609"/>
      <c r="KQ1" s="609"/>
      <c r="KR1" s="609"/>
      <c r="KS1" s="609"/>
      <c r="KT1" s="609"/>
      <c r="KU1" s="609"/>
      <c r="KV1" s="609"/>
      <c r="KW1" s="609"/>
      <c r="KX1" s="609"/>
      <c r="KY1" s="609"/>
      <c r="KZ1" s="609"/>
      <c r="LA1" s="609"/>
      <c r="LB1" s="609"/>
      <c r="LC1" s="609"/>
      <c r="LD1" s="609"/>
      <c r="LE1" s="609"/>
      <c r="LF1" s="609"/>
      <c r="LG1" s="609"/>
      <c r="LH1" s="609"/>
      <c r="LI1" s="609"/>
      <c r="LJ1" s="609"/>
      <c r="LK1" s="609"/>
      <c r="LL1" s="609"/>
      <c r="LM1" s="609"/>
      <c r="LN1" s="609"/>
      <c r="LO1" s="609"/>
      <c r="LP1" s="609"/>
      <c r="LQ1" s="609"/>
      <c r="LR1" s="609"/>
      <c r="LS1" s="609"/>
      <c r="LT1" s="609"/>
      <c r="LU1" s="609"/>
      <c r="LV1" s="609"/>
      <c r="LW1" s="609"/>
      <c r="LX1" s="609"/>
      <c r="LY1" s="609"/>
      <c r="LZ1" s="609"/>
      <c r="MA1" s="609"/>
      <c r="MB1" s="609"/>
      <c r="MC1" s="609"/>
      <c r="MD1" s="609"/>
      <c r="ME1" s="609"/>
      <c r="MF1" s="609"/>
      <c r="MG1" s="609"/>
      <c r="MH1" s="609"/>
      <c r="MI1" s="609"/>
      <c r="MJ1" s="609"/>
      <c r="MK1" s="609"/>
      <c r="ML1" s="609"/>
      <c r="MM1" s="609"/>
      <c r="MN1" s="609"/>
      <c r="MO1" s="609"/>
      <c r="MP1" s="609"/>
      <c r="MQ1" s="609"/>
      <c r="MR1" s="609"/>
      <c r="MS1" s="609"/>
      <c r="MT1" s="609"/>
      <c r="MU1" s="609"/>
      <c r="MV1" s="609"/>
      <c r="MW1" s="609"/>
      <c r="MX1" s="609"/>
      <c r="MY1" s="609"/>
      <c r="MZ1" s="609"/>
      <c r="NA1" s="609"/>
      <c r="NB1" s="609"/>
      <c r="NC1" s="609"/>
      <c r="ND1" s="609"/>
      <c r="NE1" s="609"/>
      <c r="NF1" s="609"/>
      <c r="NG1" s="609"/>
      <c r="NH1" s="609"/>
      <c r="NI1" s="609"/>
      <c r="NJ1" s="609"/>
      <c r="NK1" s="609"/>
      <c r="NL1" s="609"/>
      <c r="NM1" s="609"/>
      <c r="NN1" s="609"/>
      <c r="NO1" s="609"/>
      <c r="NP1" s="609"/>
      <c r="NQ1" s="609"/>
      <c r="NR1" s="609"/>
      <c r="NS1" s="609"/>
      <c r="NT1" s="609"/>
      <c r="NU1" s="609"/>
      <c r="NV1" s="609"/>
      <c r="NW1" s="609"/>
      <c r="NX1" s="609"/>
      <c r="NY1" s="609"/>
      <c r="NZ1" s="609"/>
      <c r="OA1" s="609"/>
      <c r="OB1" s="609"/>
      <c r="OC1" s="609"/>
      <c r="OD1" s="609"/>
      <c r="OE1" s="609"/>
      <c r="OF1" s="609"/>
      <c r="OG1" s="609"/>
      <c r="OH1" s="609"/>
      <c r="OI1" s="609"/>
      <c r="OJ1" s="609"/>
      <c r="OK1" s="609"/>
      <c r="OL1" s="609"/>
      <c r="OM1" s="609"/>
      <c r="ON1" s="609"/>
      <c r="OO1" s="609"/>
      <c r="OP1" s="609"/>
      <c r="OQ1" s="609"/>
      <c r="OR1" s="609"/>
      <c r="OS1" s="609"/>
      <c r="OT1" s="609"/>
      <c r="OU1" s="609"/>
      <c r="OV1" s="609"/>
      <c r="OW1" s="609"/>
      <c r="OX1" s="609"/>
      <c r="OY1" s="609"/>
      <c r="OZ1" s="609"/>
      <c r="PA1" s="609"/>
      <c r="PB1" s="609"/>
      <c r="PC1" s="609"/>
      <c r="PD1" s="609"/>
      <c r="PE1" s="609"/>
      <c r="PF1" s="609"/>
      <c r="PG1" s="609"/>
      <c r="PH1" s="609"/>
      <c r="PI1" s="609"/>
      <c r="PJ1" s="609"/>
      <c r="PK1" s="609"/>
      <c r="PL1" s="609"/>
      <c r="PM1" s="609"/>
      <c r="PN1" s="609"/>
      <c r="PO1" s="609"/>
      <c r="PP1" s="609"/>
      <c r="PQ1" s="609"/>
      <c r="PR1" s="609"/>
      <c r="PS1" s="609"/>
      <c r="PT1" s="609"/>
      <c r="PU1" s="609"/>
      <c r="PV1" s="609"/>
      <c r="PW1" s="609"/>
      <c r="PX1" s="609"/>
      <c r="PY1" s="609"/>
      <c r="PZ1" s="609"/>
      <c r="QA1" s="609"/>
      <c r="QB1" s="609"/>
      <c r="QC1" s="609"/>
      <c r="QD1" s="609"/>
      <c r="QE1" s="609"/>
      <c r="QF1" s="609"/>
      <c r="QG1" s="609"/>
      <c r="QH1" s="609"/>
      <c r="QI1" s="609"/>
      <c r="QJ1" s="609"/>
      <c r="QK1" s="609"/>
      <c r="QL1" s="609"/>
      <c r="QM1" s="609"/>
      <c r="QN1" s="609"/>
      <c r="QO1" s="609"/>
      <c r="QP1" s="609"/>
      <c r="QQ1" s="609"/>
      <c r="QR1" s="609"/>
      <c r="QS1" s="609"/>
      <c r="QT1" s="609"/>
      <c r="QU1" s="609"/>
      <c r="QV1" s="609"/>
      <c r="QW1" s="609"/>
      <c r="QX1" s="609"/>
      <c r="QY1" s="609"/>
      <c r="QZ1" s="609"/>
      <c r="RA1" s="609"/>
      <c r="RB1" s="609"/>
      <c r="RC1" s="609"/>
      <c r="RD1" s="609"/>
      <c r="RE1" s="609"/>
      <c r="RF1" s="609"/>
      <c r="RG1" s="609"/>
      <c r="RH1" s="609"/>
      <c r="RI1" s="609"/>
      <c r="RJ1" s="609"/>
      <c r="RK1" s="609"/>
      <c r="RL1" s="609"/>
      <c r="RM1" s="609"/>
      <c r="RN1" s="609"/>
      <c r="RO1" s="609"/>
      <c r="RP1" s="609"/>
      <c r="RQ1" s="609"/>
      <c r="RR1" s="609"/>
      <c r="RS1" s="609"/>
      <c r="RT1" s="609"/>
      <c r="RU1" s="609"/>
      <c r="RV1" s="609"/>
      <c r="RW1" s="609"/>
      <c r="RX1" s="609"/>
      <c r="RY1" s="609"/>
      <c r="RZ1" s="609"/>
      <c r="SA1" s="609"/>
      <c r="SB1" s="609"/>
      <c r="SC1" s="609"/>
      <c r="SD1" s="609"/>
      <c r="SE1" s="609"/>
      <c r="SF1" s="609"/>
      <c r="SG1" s="609"/>
      <c r="SH1" s="609"/>
      <c r="SI1" s="609"/>
      <c r="SJ1" s="609"/>
      <c r="SK1" s="609"/>
      <c r="SL1" s="609"/>
      <c r="SM1" s="609"/>
      <c r="SN1" s="609"/>
      <c r="SO1" s="609"/>
      <c r="SP1" s="609"/>
      <c r="SQ1" s="609"/>
      <c r="SR1" s="609"/>
      <c r="SS1" s="609"/>
      <c r="ST1" s="609"/>
      <c r="SU1" s="609"/>
      <c r="SV1" s="609"/>
      <c r="SW1" s="609"/>
      <c r="SX1" s="609"/>
      <c r="SY1" s="609"/>
      <c r="SZ1" s="609"/>
      <c r="TA1" s="609"/>
      <c r="TB1" s="609"/>
      <c r="TC1" s="609"/>
      <c r="TD1" s="609"/>
      <c r="TE1" s="609"/>
      <c r="TF1" s="609"/>
      <c r="TG1" s="609"/>
      <c r="TH1" s="609"/>
      <c r="TI1" s="609"/>
      <c r="TJ1" s="609"/>
      <c r="TK1" s="609"/>
      <c r="TL1" s="609"/>
      <c r="TM1" s="609"/>
      <c r="TN1" s="609"/>
      <c r="TO1" s="609"/>
      <c r="TP1" s="609"/>
      <c r="TQ1" s="609"/>
      <c r="TR1" s="609"/>
      <c r="TS1" s="609"/>
      <c r="TT1" s="609"/>
      <c r="TU1" s="609"/>
      <c r="TV1" s="609"/>
      <c r="TW1" s="609"/>
      <c r="TX1" s="609"/>
      <c r="TY1" s="609"/>
      <c r="TZ1" s="609"/>
      <c r="UA1" s="609"/>
      <c r="UB1" s="609"/>
      <c r="UC1" s="609"/>
      <c r="UD1" s="609"/>
      <c r="UE1" s="609"/>
      <c r="UF1" s="609"/>
      <c r="UG1" s="609"/>
      <c r="UH1" s="609"/>
      <c r="UI1" s="609"/>
      <c r="UJ1" s="609"/>
      <c r="UK1" s="609"/>
      <c r="UL1" s="609"/>
      <c r="UM1" s="609"/>
      <c r="UN1" s="609"/>
      <c r="UO1" s="609"/>
      <c r="UP1" s="609"/>
      <c r="UQ1" s="609"/>
      <c r="UR1" s="609"/>
      <c r="US1" s="609"/>
      <c r="UT1" s="609"/>
      <c r="UU1" s="609"/>
      <c r="UV1" s="609"/>
      <c r="UW1" s="609"/>
      <c r="UX1" s="609"/>
      <c r="UY1" s="609"/>
      <c r="UZ1" s="609"/>
      <c r="VA1" s="609"/>
      <c r="VB1" s="609"/>
      <c r="VC1" s="609"/>
      <c r="VD1" s="609"/>
      <c r="VE1" s="609"/>
      <c r="VF1" s="609"/>
      <c r="VG1" s="609"/>
      <c r="VH1" s="609"/>
      <c r="VI1" s="609"/>
      <c r="VJ1" s="609"/>
      <c r="VK1" s="609"/>
      <c r="VL1" s="609"/>
      <c r="VM1" s="609"/>
      <c r="VN1" s="609"/>
      <c r="VO1" s="609"/>
      <c r="VP1" s="609"/>
      <c r="VQ1" s="609"/>
      <c r="VR1" s="609"/>
      <c r="VS1" s="609"/>
      <c r="VT1" s="609"/>
      <c r="VU1" s="609"/>
      <c r="VV1" s="609"/>
      <c r="VW1" s="609"/>
      <c r="VX1" s="609"/>
      <c r="VY1" s="609"/>
      <c r="VZ1" s="609"/>
      <c r="WA1" s="609"/>
      <c r="WB1" s="609"/>
      <c r="WC1" s="609"/>
      <c r="WD1" s="609"/>
      <c r="WE1" s="609"/>
      <c r="WF1" s="609"/>
      <c r="WG1" s="609"/>
      <c r="WH1" s="609"/>
      <c r="WI1" s="609"/>
      <c r="WJ1" s="609"/>
      <c r="WK1" s="609"/>
      <c r="WL1" s="609"/>
      <c r="WM1" s="609"/>
      <c r="WN1" s="609"/>
      <c r="WO1" s="609"/>
      <c r="WP1" s="609"/>
      <c r="WQ1" s="609"/>
      <c r="WR1" s="609"/>
      <c r="WS1" s="609"/>
      <c r="WT1" s="609"/>
      <c r="WU1" s="609"/>
      <c r="WV1" s="609"/>
      <c r="WW1" s="609"/>
      <c r="WX1" s="609"/>
      <c r="WY1" s="609"/>
      <c r="WZ1" s="609"/>
      <c r="XA1" s="609"/>
      <c r="XB1" s="609"/>
      <c r="XC1" s="609"/>
      <c r="XD1" s="609"/>
      <c r="XE1" s="609"/>
      <c r="XF1" s="609"/>
      <c r="XG1" s="609"/>
      <c r="XH1" s="609"/>
      <c r="XI1" s="609"/>
      <c r="XJ1" s="609"/>
      <c r="XK1" s="609"/>
      <c r="XL1" s="609"/>
      <c r="XM1" s="609"/>
      <c r="XN1" s="609"/>
      <c r="XO1" s="609"/>
      <c r="XP1" s="609"/>
      <c r="XQ1" s="609"/>
      <c r="XR1" s="609"/>
      <c r="XS1" s="609"/>
      <c r="XT1" s="609"/>
      <c r="XU1" s="609"/>
      <c r="XV1" s="609"/>
      <c r="XW1" s="609"/>
      <c r="XX1" s="609"/>
      <c r="XY1" s="609"/>
      <c r="XZ1" s="609"/>
      <c r="YA1" s="609"/>
      <c r="YB1" s="609"/>
      <c r="YC1" s="609"/>
      <c r="YD1" s="609"/>
      <c r="YE1" s="609"/>
      <c r="YF1" s="609"/>
      <c r="YG1" s="609"/>
      <c r="YH1" s="609"/>
      <c r="YI1" s="609"/>
      <c r="YJ1" s="609"/>
      <c r="YK1" s="609"/>
      <c r="YL1" s="609"/>
      <c r="YM1" s="609"/>
      <c r="YN1" s="609"/>
      <c r="YO1" s="609"/>
      <c r="YP1" s="609"/>
      <c r="YQ1" s="609"/>
      <c r="YR1" s="609"/>
      <c r="YS1" s="609"/>
      <c r="YT1" s="609"/>
      <c r="YU1" s="609"/>
      <c r="YV1" s="609"/>
      <c r="YW1" s="609"/>
      <c r="YX1" s="609"/>
      <c r="YY1" s="609"/>
      <c r="YZ1" s="609"/>
      <c r="ZA1" s="609"/>
      <c r="ZB1" s="609"/>
      <c r="ZC1" s="609"/>
      <c r="ZD1" s="609"/>
      <c r="ZE1" s="609"/>
      <c r="ZF1" s="609"/>
      <c r="ZG1" s="609"/>
      <c r="ZH1" s="609"/>
      <c r="ZI1" s="609"/>
      <c r="ZJ1" s="609"/>
      <c r="ZK1" s="609"/>
      <c r="ZL1" s="609"/>
      <c r="ZM1" s="609"/>
      <c r="ZN1" s="609"/>
      <c r="ZO1" s="609"/>
      <c r="ZP1" s="609"/>
      <c r="ZQ1" s="609"/>
      <c r="ZR1" s="609"/>
      <c r="ZS1" s="609"/>
      <c r="ZT1" s="609"/>
      <c r="ZU1" s="609"/>
      <c r="ZV1" s="609"/>
      <c r="ZW1" s="609"/>
      <c r="ZX1" s="609"/>
      <c r="ZY1" s="609"/>
      <c r="ZZ1" s="590"/>
      <c r="AAA1" s="590"/>
      <c r="AAD1" s="113"/>
      <c r="AAE1" s="775" t="s">
        <v>319</v>
      </c>
      <c r="AAF1" s="775"/>
      <c r="AAG1" s="775"/>
      <c r="AAH1" s="775"/>
      <c r="AAI1" s="775"/>
      <c r="AAJ1" s="775"/>
      <c r="AAK1" s="775"/>
      <c r="AAL1" s="332"/>
      <c r="AAM1" s="113"/>
      <c r="AAN1"/>
      <c r="AAT1" s="23"/>
      <c r="AAU1" s="44"/>
    </row>
    <row r="2" spans="1:745" ht="17.25" customHeight="1">
      <c r="A2" s="753"/>
      <c r="B2" s="758" t="s">
        <v>126</v>
      </c>
      <c r="C2" s="787" t="s">
        <v>387</v>
      </c>
      <c r="D2" s="787"/>
      <c r="E2" s="787"/>
      <c r="F2" s="787"/>
      <c r="G2" s="787"/>
      <c r="H2" s="787"/>
      <c r="I2" s="590"/>
      <c r="J2" s="628" t="s">
        <v>332</v>
      </c>
      <c r="K2" s="613"/>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75"/>
      <c r="AAF2" s="775"/>
      <c r="AAG2" s="775"/>
      <c r="AAH2" s="775"/>
      <c r="AAI2" s="775"/>
      <c r="AAJ2" s="775"/>
      <c r="AAK2" s="775"/>
      <c r="AAL2" s="333">
        <f>ROW(S.LastCellSchedule)</f>
        <v>469</v>
      </c>
      <c r="AAM2" s="113"/>
      <c r="AAN2"/>
      <c r="AAO2" s="785" t="s">
        <v>318</v>
      </c>
      <c r="AAP2" s="785"/>
      <c r="AAQ2" s="785"/>
      <c r="AAR2" s="785"/>
      <c r="AAS2" s="785"/>
      <c r="AAT2" s="785"/>
      <c r="AAU2" s="44"/>
    </row>
    <row r="3" spans="1:745" ht="18" customHeight="1">
      <c r="A3" s="753"/>
      <c r="B3" s="758"/>
      <c r="C3" s="787"/>
      <c r="D3" s="787"/>
      <c r="E3" s="787"/>
      <c r="F3" s="787"/>
      <c r="G3" s="787"/>
      <c r="H3" s="787"/>
      <c r="I3" s="590"/>
      <c r="J3" s="684">
        <v>0</v>
      </c>
      <c r="K3" s="35"/>
      <c r="N3" s="53"/>
      <c r="O3" s="741" t="s">
        <v>67</v>
      </c>
      <c r="P3" s="742"/>
      <c r="Q3" s="53"/>
      <c r="R3" s="743" t="s">
        <v>66</v>
      </c>
      <c r="S3" s="744"/>
      <c r="T3" s="591"/>
      <c r="U3" s="739" t="s">
        <v>65</v>
      </c>
      <c r="V3" s="740"/>
      <c r="W3" s="591"/>
      <c r="X3" s="591"/>
      <c r="AM3" s="741" t="s">
        <v>67</v>
      </c>
      <c r="AN3" s="742"/>
      <c r="AO3" s="53"/>
      <c r="AP3" s="743" t="s">
        <v>66</v>
      </c>
      <c r="AQ3" s="744"/>
      <c r="AR3" s="53"/>
      <c r="AS3" s="739" t="s">
        <v>65</v>
      </c>
      <c r="AT3" s="740"/>
      <c r="BO3" s="741" t="s">
        <v>67</v>
      </c>
      <c r="BP3" s="742"/>
      <c r="BQ3" s="53"/>
      <c r="BR3" s="743" t="s">
        <v>66</v>
      </c>
      <c r="BS3" s="744"/>
      <c r="BT3" s="53"/>
      <c r="BU3" s="739" t="s">
        <v>65</v>
      </c>
      <c r="BV3" s="740"/>
      <c r="CP3" s="741" t="s">
        <v>67</v>
      </c>
      <c r="CQ3" s="742"/>
      <c r="CR3" s="53"/>
      <c r="CS3" s="743" t="s">
        <v>66</v>
      </c>
      <c r="CT3" s="744"/>
      <c r="CU3" s="53"/>
      <c r="CV3" s="739" t="s">
        <v>65</v>
      </c>
      <c r="CW3" s="740"/>
      <c r="DQ3" s="741" t="s">
        <v>67</v>
      </c>
      <c r="DR3" s="742"/>
      <c r="DS3" s="53"/>
      <c r="DT3" s="743" t="s">
        <v>66</v>
      </c>
      <c r="DU3" s="744"/>
      <c r="DV3" s="53"/>
      <c r="DW3" s="739" t="s">
        <v>65</v>
      </c>
      <c r="DX3" s="740"/>
      <c r="ER3" s="741" t="s">
        <v>67</v>
      </c>
      <c r="ES3" s="742"/>
      <c r="ET3" s="53"/>
      <c r="EU3" s="743" t="s">
        <v>66</v>
      </c>
      <c r="EV3" s="744"/>
      <c r="EW3" s="53"/>
      <c r="EX3" s="739" t="s">
        <v>65</v>
      </c>
      <c r="EY3" s="740"/>
      <c r="FS3" s="741" t="s">
        <v>67</v>
      </c>
      <c r="FT3" s="742"/>
      <c r="FU3" s="53"/>
      <c r="FV3" s="743" t="s">
        <v>66</v>
      </c>
      <c r="FW3" s="744"/>
      <c r="FX3" s="53"/>
      <c r="FY3" s="739" t="s">
        <v>65</v>
      </c>
      <c r="FZ3" s="740"/>
      <c r="GT3" s="741" t="s">
        <v>67</v>
      </c>
      <c r="GU3" s="742"/>
      <c r="GV3" s="53"/>
      <c r="GW3" s="743" t="s">
        <v>66</v>
      </c>
      <c r="GX3" s="744"/>
      <c r="GY3" s="53"/>
      <c r="GZ3" s="739" t="s">
        <v>65</v>
      </c>
      <c r="HA3" s="740"/>
      <c r="HU3" s="741" t="s">
        <v>67</v>
      </c>
      <c r="HV3" s="742"/>
      <c r="HW3" s="53"/>
      <c r="HX3" s="743" t="s">
        <v>66</v>
      </c>
      <c r="HY3" s="744"/>
      <c r="HZ3" s="53"/>
      <c r="IA3" s="739" t="s">
        <v>65</v>
      </c>
      <c r="IB3" s="740"/>
      <c r="IW3" s="741" t="s">
        <v>67</v>
      </c>
      <c r="IX3" s="742"/>
      <c r="IY3" s="53"/>
      <c r="IZ3" s="743" t="s">
        <v>66</v>
      </c>
      <c r="JA3" s="744"/>
      <c r="JB3" s="53"/>
      <c r="JC3" s="739" t="s">
        <v>65</v>
      </c>
      <c r="JD3" s="740"/>
      <c r="JY3" s="741" t="s">
        <v>67</v>
      </c>
      <c r="JZ3" s="742"/>
      <c r="KA3" s="53"/>
      <c r="KB3" s="743" t="s">
        <v>66</v>
      </c>
      <c r="KC3" s="744"/>
      <c r="KD3" s="53"/>
      <c r="KE3" s="739" t="s">
        <v>65</v>
      </c>
      <c r="KF3" s="740"/>
      <c r="LA3" s="741" t="s">
        <v>67</v>
      </c>
      <c r="LB3" s="742"/>
      <c r="LC3" s="53"/>
      <c r="LD3" s="743" t="s">
        <v>66</v>
      </c>
      <c r="LE3" s="744"/>
      <c r="LF3" s="53"/>
      <c r="LG3" s="739" t="s">
        <v>65</v>
      </c>
      <c r="LH3" s="740"/>
      <c r="MB3" s="741" t="s">
        <v>67</v>
      </c>
      <c r="MC3" s="742"/>
      <c r="MD3" s="53"/>
      <c r="ME3" s="743" t="s">
        <v>66</v>
      </c>
      <c r="MF3" s="744"/>
      <c r="MG3" s="53"/>
      <c r="MH3" s="739" t="s">
        <v>65</v>
      </c>
      <c r="MI3" s="740"/>
      <c r="ND3" s="741" t="s">
        <v>67</v>
      </c>
      <c r="NE3" s="742"/>
      <c r="NF3" s="53"/>
      <c r="NG3" s="743" t="s">
        <v>66</v>
      </c>
      <c r="NH3" s="744"/>
      <c r="NI3" s="53"/>
      <c r="NJ3" s="739" t="s">
        <v>65</v>
      </c>
      <c r="NK3" s="740"/>
      <c r="OE3" s="741" t="s">
        <v>67</v>
      </c>
      <c r="OF3" s="742"/>
      <c r="OG3" s="53"/>
      <c r="OH3" s="743" t="s">
        <v>66</v>
      </c>
      <c r="OI3" s="744"/>
      <c r="OJ3" s="53"/>
      <c r="OK3" s="739" t="s">
        <v>65</v>
      </c>
      <c r="OL3" s="740"/>
      <c r="PG3" s="741" t="s">
        <v>67</v>
      </c>
      <c r="PH3" s="742"/>
      <c r="PI3" s="53"/>
      <c r="PJ3" s="743" t="s">
        <v>66</v>
      </c>
      <c r="PK3" s="744"/>
      <c r="PL3" s="53"/>
      <c r="PM3" s="739" t="s">
        <v>65</v>
      </c>
      <c r="PN3" s="740"/>
      <c r="QH3" s="741" t="s">
        <v>67</v>
      </c>
      <c r="QI3" s="742"/>
      <c r="QJ3" s="53"/>
      <c r="QK3" s="743" t="s">
        <v>66</v>
      </c>
      <c r="QL3" s="744"/>
      <c r="QM3" s="53"/>
      <c r="QN3" s="739" t="s">
        <v>65</v>
      </c>
      <c r="QO3" s="740"/>
      <c r="RI3" s="741" t="s">
        <v>67</v>
      </c>
      <c r="RJ3" s="742"/>
      <c r="RK3" s="53"/>
      <c r="RL3" s="743" t="s">
        <v>66</v>
      </c>
      <c r="RM3" s="744"/>
      <c r="RN3" s="53"/>
      <c r="RO3" s="739" t="s">
        <v>65</v>
      </c>
      <c r="RP3" s="740"/>
      <c r="SK3" s="741" t="s">
        <v>67</v>
      </c>
      <c r="SL3" s="742"/>
      <c r="SM3" s="53"/>
      <c r="SN3" s="743" t="s">
        <v>66</v>
      </c>
      <c r="SO3" s="744"/>
      <c r="SP3" s="53"/>
      <c r="SQ3" s="739" t="s">
        <v>65</v>
      </c>
      <c r="SR3" s="740"/>
      <c r="TM3" s="741" t="s">
        <v>67</v>
      </c>
      <c r="TN3" s="742"/>
      <c r="TO3" s="53"/>
      <c r="TP3" s="743" t="s">
        <v>66</v>
      </c>
      <c r="TQ3" s="744"/>
      <c r="TR3" s="53"/>
      <c r="TS3" s="739" t="s">
        <v>65</v>
      </c>
      <c r="TT3" s="740"/>
      <c r="UP3" s="741" t="s">
        <v>67</v>
      </c>
      <c r="UQ3" s="742"/>
      <c r="UR3" s="53"/>
      <c r="US3" s="743" t="s">
        <v>66</v>
      </c>
      <c r="UT3" s="744"/>
      <c r="UU3" s="53"/>
      <c r="UV3" s="739" t="s">
        <v>65</v>
      </c>
      <c r="UW3" s="740"/>
      <c r="VQ3" s="741" t="s">
        <v>67</v>
      </c>
      <c r="VR3" s="742"/>
      <c r="VS3" s="53"/>
      <c r="VT3" s="743" t="s">
        <v>66</v>
      </c>
      <c r="VU3" s="744"/>
      <c r="VV3" s="53"/>
      <c r="VW3" s="739" t="s">
        <v>65</v>
      </c>
      <c r="VX3" s="740"/>
      <c r="WR3" s="741" t="s">
        <v>67</v>
      </c>
      <c r="WS3" s="742"/>
      <c r="WT3" s="53"/>
      <c r="WU3" s="743" t="s">
        <v>66</v>
      </c>
      <c r="WV3" s="744"/>
      <c r="WW3" s="53"/>
      <c r="WX3" s="739" t="s">
        <v>65</v>
      </c>
      <c r="WY3" s="740"/>
      <c r="XT3" s="741" t="s">
        <v>67</v>
      </c>
      <c r="XU3" s="742"/>
      <c r="XV3" s="53"/>
      <c r="XW3" s="743" t="s">
        <v>66</v>
      </c>
      <c r="XX3" s="744"/>
      <c r="XY3" s="53"/>
      <c r="XZ3" s="739" t="s">
        <v>65</v>
      </c>
      <c r="YA3" s="740"/>
      <c r="YU3" s="741" t="s">
        <v>67</v>
      </c>
      <c r="YV3" s="742"/>
      <c r="YW3" s="53"/>
      <c r="YX3" s="743" t="s">
        <v>66</v>
      </c>
      <c r="YY3" s="744"/>
      <c r="YZ3" s="53"/>
      <c r="ZA3" s="739" t="s">
        <v>65</v>
      </c>
      <c r="ZB3" s="740"/>
      <c r="ZY3"/>
      <c r="AAA3" s="590"/>
      <c r="AAD3" s="113"/>
      <c r="AAE3" s="552"/>
      <c r="AAF3" s="584" t="s">
        <v>242</v>
      </c>
      <c r="AAG3" s="61"/>
      <c r="AAH3" s="61"/>
      <c r="AAI3" s="61"/>
      <c r="AAJ3" s="112"/>
      <c r="AAK3" s="112"/>
      <c r="AAL3" s="62"/>
      <c r="AAM3" s="113"/>
      <c r="AAN3"/>
      <c r="AAT3" s="23"/>
      <c r="AAU3" s="44"/>
    </row>
    <row r="4" spans="1:745" ht="25.5" customHeight="1">
      <c r="A4" s="560" t="s">
        <v>0</v>
      </c>
      <c r="B4" s="205" t="s">
        <v>84</v>
      </c>
      <c r="C4" s="695" t="s">
        <v>0</v>
      </c>
      <c r="D4" s="518"/>
      <c r="E4" s="757" t="s">
        <v>2</v>
      </c>
      <c r="F4" s="757"/>
      <c r="G4" s="766" t="str">
        <f ca="1">"Today "&amp;TEXT(TODAY(),"mm/dd/yy")</f>
        <v>Today 04/17/13</v>
      </c>
      <c r="H4" s="766"/>
      <c r="I4" s="600"/>
      <c r="J4" s="737">
        <f ca="1">J5</f>
        <v>41381</v>
      </c>
      <c r="K4" s="737" t="str">
        <f ca="1">IF(WEEKDAY(K$6)=2,K6,"")</f>
        <v/>
      </c>
      <c r="L4" s="737" t="str">
        <f t="shared" ref="L4:BW4" ca="1" si="0">IF(WEEKDAY(L$6)=2,L6,"")</f>
        <v/>
      </c>
      <c r="M4" s="737" t="str">
        <f t="shared" ca="1" si="0"/>
        <v/>
      </c>
      <c r="N4" s="737" t="str">
        <f t="shared" ca="1" si="0"/>
        <v/>
      </c>
      <c r="O4" s="737">
        <f t="shared" ca="1" si="0"/>
        <v>41386</v>
      </c>
      <c r="P4" s="737" t="str">
        <f t="shared" ca="1" si="0"/>
        <v/>
      </c>
      <c r="Q4" s="737" t="str">
        <f t="shared" ca="1" si="0"/>
        <v/>
      </c>
      <c r="R4" s="737" t="str">
        <f t="shared" ca="1" si="0"/>
        <v/>
      </c>
      <c r="S4" s="737" t="str">
        <f t="shared" ca="1" si="0"/>
        <v/>
      </c>
      <c r="T4" s="737" t="str">
        <f t="shared" ca="1" si="0"/>
        <v/>
      </c>
      <c r="U4" s="737" t="str">
        <f t="shared" ca="1" si="0"/>
        <v/>
      </c>
      <c r="V4" s="737">
        <f t="shared" ca="1" si="0"/>
        <v>41393</v>
      </c>
      <c r="W4" s="737" t="str">
        <f t="shared" ca="1" si="0"/>
        <v/>
      </c>
      <c r="X4" s="737" t="str">
        <f t="shared" ca="1" si="0"/>
        <v/>
      </c>
      <c r="Y4" s="737" t="str">
        <f t="shared" ca="1" si="0"/>
        <v/>
      </c>
      <c r="Z4" s="737" t="str">
        <f t="shared" ca="1" si="0"/>
        <v/>
      </c>
      <c r="AA4" s="737" t="str">
        <f t="shared" ca="1" si="0"/>
        <v/>
      </c>
      <c r="AB4" s="737" t="str">
        <f t="shared" ca="1" si="0"/>
        <v/>
      </c>
      <c r="AC4" s="737">
        <f t="shared" ca="1" si="0"/>
        <v>41400</v>
      </c>
      <c r="AD4" s="737" t="str">
        <f t="shared" ca="1" si="0"/>
        <v/>
      </c>
      <c r="AE4" s="737" t="str">
        <f t="shared" ca="1" si="0"/>
        <v/>
      </c>
      <c r="AF4" s="737" t="str">
        <f t="shared" ca="1" si="0"/>
        <v/>
      </c>
      <c r="AG4" s="737" t="str">
        <f t="shared" ca="1" si="0"/>
        <v/>
      </c>
      <c r="AH4" s="737" t="str">
        <f t="shared" ca="1" si="0"/>
        <v/>
      </c>
      <c r="AI4" s="737" t="str">
        <f t="shared" ca="1" si="0"/>
        <v/>
      </c>
      <c r="AJ4" s="737">
        <f t="shared" ca="1" si="0"/>
        <v>41407</v>
      </c>
      <c r="AK4" s="737" t="str">
        <f t="shared" ca="1" si="0"/>
        <v/>
      </c>
      <c r="AL4" s="737" t="str">
        <f t="shared" ca="1" si="0"/>
        <v/>
      </c>
      <c r="AM4" s="737" t="str">
        <f t="shared" ca="1" si="0"/>
        <v/>
      </c>
      <c r="AN4" s="737" t="str">
        <f t="shared" ca="1" si="0"/>
        <v/>
      </c>
      <c r="AO4" s="737" t="str">
        <f t="shared" ca="1" si="0"/>
        <v/>
      </c>
      <c r="AP4" s="737" t="str">
        <f t="shared" ca="1" si="0"/>
        <v/>
      </c>
      <c r="AQ4" s="737">
        <f t="shared" ca="1" si="0"/>
        <v>41414</v>
      </c>
      <c r="AR4" s="737" t="str">
        <f t="shared" ca="1" si="0"/>
        <v/>
      </c>
      <c r="AS4" s="737" t="str">
        <f t="shared" ca="1" si="0"/>
        <v/>
      </c>
      <c r="AT4" s="737" t="str">
        <f t="shared" ca="1" si="0"/>
        <v/>
      </c>
      <c r="AU4" s="737" t="str">
        <f t="shared" ca="1" si="0"/>
        <v/>
      </c>
      <c r="AV4" s="737" t="str">
        <f t="shared" ca="1" si="0"/>
        <v/>
      </c>
      <c r="AW4" s="737" t="str">
        <f t="shared" ca="1" si="0"/>
        <v/>
      </c>
      <c r="AX4" s="737">
        <f t="shared" ca="1" si="0"/>
        <v>41421</v>
      </c>
      <c r="AY4" s="737" t="str">
        <f t="shared" ca="1" si="0"/>
        <v/>
      </c>
      <c r="AZ4" s="737" t="str">
        <f t="shared" ca="1" si="0"/>
        <v/>
      </c>
      <c r="BA4" s="737" t="str">
        <f t="shared" ca="1" si="0"/>
        <v/>
      </c>
      <c r="BB4" s="737" t="str">
        <f t="shared" ca="1" si="0"/>
        <v/>
      </c>
      <c r="BC4" s="737" t="str">
        <f t="shared" ca="1" si="0"/>
        <v/>
      </c>
      <c r="BD4" s="737" t="str">
        <f t="shared" ca="1" si="0"/>
        <v/>
      </c>
      <c r="BE4" s="737">
        <f t="shared" ca="1" si="0"/>
        <v>41428</v>
      </c>
      <c r="BF4" s="737" t="str">
        <f t="shared" ca="1" si="0"/>
        <v/>
      </c>
      <c r="BG4" s="737" t="str">
        <f t="shared" ca="1" si="0"/>
        <v/>
      </c>
      <c r="BH4" s="737" t="str">
        <f t="shared" ca="1" si="0"/>
        <v/>
      </c>
      <c r="BI4" s="737" t="str">
        <f t="shared" ca="1" si="0"/>
        <v/>
      </c>
      <c r="BJ4" s="737" t="str">
        <f t="shared" ca="1" si="0"/>
        <v/>
      </c>
      <c r="BK4" s="737" t="str">
        <f t="shared" ca="1" si="0"/>
        <v/>
      </c>
      <c r="BL4" s="737">
        <f t="shared" ca="1" si="0"/>
        <v>41435</v>
      </c>
      <c r="BM4" s="737" t="str">
        <f t="shared" ca="1" si="0"/>
        <v/>
      </c>
      <c r="BN4" s="737" t="str">
        <f t="shared" ca="1" si="0"/>
        <v/>
      </c>
      <c r="BO4" s="737" t="str">
        <f t="shared" ca="1" si="0"/>
        <v/>
      </c>
      <c r="BP4" s="737" t="str">
        <f t="shared" ca="1" si="0"/>
        <v/>
      </c>
      <c r="BQ4" s="737" t="str">
        <f t="shared" ca="1" si="0"/>
        <v/>
      </c>
      <c r="BR4" s="737" t="str">
        <f t="shared" ca="1" si="0"/>
        <v/>
      </c>
      <c r="BS4" s="737">
        <f t="shared" ca="1" si="0"/>
        <v>41442</v>
      </c>
      <c r="BT4" s="737" t="str">
        <f t="shared" ca="1" si="0"/>
        <v/>
      </c>
      <c r="BU4" s="737" t="str">
        <f t="shared" ca="1" si="0"/>
        <v/>
      </c>
      <c r="BV4" s="737" t="str">
        <f t="shared" ca="1" si="0"/>
        <v/>
      </c>
      <c r="BW4" s="737" t="str">
        <f t="shared" ca="1" si="0"/>
        <v/>
      </c>
      <c r="BX4" s="737" t="str">
        <f t="shared" ref="BX4:EI4" ca="1" si="1">IF(WEEKDAY(BX$6)=2,BX6,"")</f>
        <v/>
      </c>
      <c r="BY4" s="737" t="str">
        <f t="shared" ca="1" si="1"/>
        <v/>
      </c>
      <c r="BZ4" s="737">
        <f t="shared" ca="1" si="1"/>
        <v>41449</v>
      </c>
      <c r="CA4" s="737" t="str">
        <f t="shared" ca="1" si="1"/>
        <v/>
      </c>
      <c r="CB4" s="737" t="str">
        <f t="shared" ca="1" si="1"/>
        <v/>
      </c>
      <c r="CC4" s="737" t="str">
        <f t="shared" ca="1" si="1"/>
        <v/>
      </c>
      <c r="CD4" s="737" t="str">
        <f t="shared" ca="1" si="1"/>
        <v/>
      </c>
      <c r="CE4" s="737" t="str">
        <f t="shared" ca="1" si="1"/>
        <v/>
      </c>
      <c r="CF4" s="737" t="str">
        <f t="shared" ca="1" si="1"/>
        <v/>
      </c>
      <c r="CG4" s="737">
        <f t="shared" ca="1" si="1"/>
        <v>41456</v>
      </c>
      <c r="CH4" s="737" t="str">
        <f t="shared" ca="1" si="1"/>
        <v/>
      </c>
      <c r="CI4" s="737" t="str">
        <f t="shared" ca="1" si="1"/>
        <v/>
      </c>
      <c r="CJ4" s="737" t="str">
        <f t="shared" ca="1" si="1"/>
        <v/>
      </c>
      <c r="CK4" s="737" t="str">
        <f t="shared" ca="1" si="1"/>
        <v/>
      </c>
      <c r="CL4" s="737" t="str">
        <f t="shared" ca="1" si="1"/>
        <v/>
      </c>
      <c r="CM4" s="737" t="str">
        <f t="shared" ca="1" si="1"/>
        <v/>
      </c>
      <c r="CN4" s="737">
        <f t="shared" ca="1" si="1"/>
        <v>41463</v>
      </c>
      <c r="CO4" s="737" t="str">
        <f t="shared" ca="1" si="1"/>
        <v/>
      </c>
      <c r="CP4" s="737" t="str">
        <f t="shared" ca="1" si="1"/>
        <v/>
      </c>
      <c r="CQ4" s="737" t="str">
        <f t="shared" ca="1" si="1"/>
        <v/>
      </c>
      <c r="CR4" s="737" t="str">
        <f t="shared" ca="1" si="1"/>
        <v/>
      </c>
      <c r="CS4" s="737" t="str">
        <f t="shared" ca="1" si="1"/>
        <v/>
      </c>
      <c r="CT4" s="737" t="str">
        <f t="shared" ca="1" si="1"/>
        <v/>
      </c>
      <c r="CU4" s="737">
        <f t="shared" ca="1" si="1"/>
        <v>41470</v>
      </c>
      <c r="CV4" s="737" t="str">
        <f t="shared" ca="1" si="1"/>
        <v/>
      </c>
      <c r="CW4" s="737" t="str">
        <f t="shared" ca="1" si="1"/>
        <v/>
      </c>
      <c r="CX4" s="737" t="str">
        <f t="shared" ca="1" si="1"/>
        <v/>
      </c>
      <c r="CY4" s="737" t="str">
        <f t="shared" ca="1" si="1"/>
        <v/>
      </c>
      <c r="CZ4" s="737" t="str">
        <f t="shared" ca="1" si="1"/>
        <v/>
      </c>
      <c r="DA4" s="737" t="str">
        <f t="shared" ca="1" si="1"/>
        <v/>
      </c>
      <c r="DB4" s="737">
        <f t="shared" ca="1" si="1"/>
        <v>41477</v>
      </c>
      <c r="DC4" s="737" t="str">
        <f t="shared" ca="1" si="1"/>
        <v/>
      </c>
      <c r="DD4" s="737" t="str">
        <f t="shared" ca="1" si="1"/>
        <v/>
      </c>
      <c r="DE4" s="737" t="str">
        <f t="shared" ca="1" si="1"/>
        <v/>
      </c>
      <c r="DF4" s="737" t="str">
        <f t="shared" ca="1" si="1"/>
        <v/>
      </c>
      <c r="DG4" s="737" t="str">
        <f t="shared" ca="1" si="1"/>
        <v/>
      </c>
      <c r="DH4" s="737" t="str">
        <f t="shared" ca="1" si="1"/>
        <v/>
      </c>
      <c r="DI4" s="737">
        <f t="shared" ca="1" si="1"/>
        <v>41484</v>
      </c>
      <c r="DJ4" s="737" t="str">
        <f t="shared" ca="1" si="1"/>
        <v/>
      </c>
      <c r="DK4" s="737" t="str">
        <f t="shared" ca="1" si="1"/>
        <v/>
      </c>
      <c r="DL4" s="737" t="str">
        <f t="shared" ca="1" si="1"/>
        <v/>
      </c>
      <c r="DM4" s="737" t="str">
        <f t="shared" ca="1" si="1"/>
        <v/>
      </c>
      <c r="DN4" s="737" t="str">
        <f t="shared" ca="1" si="1"/>
        <v/>
      </c>
      <c r="DO4" s="737" t="str">
        <f t="shared" ca="1" si="1"/>
        <v/>
      </c>
      <c r="DP4" s="737">
        <f t="shared" ca="1" si="1"/>
        <v>41491</v>
      </c>
      <c r="DQ4" s="737" t="str">
        <f t="shared" ca="1" si="1"/>
        <v/>
      </c>
      <c r="DR4" s="737" t="str">
        <f t="shared" ca="1" si="1"/>
        <v/>
      </c>
      <c r="DS4" s="737" t="str">
        <f t="shared" ca="1" si="1"/>
        <v/>
      </c>
      <c r="DT4" s="737" t="str">
        <f t="shared" ca="1" si="1"/>
        <v/>
      </c>
      <c r="DU4" s="737" t="str">
        <f t="shared" ca="1" si="1"/>
        <v/>
      </c>
      <c r="DV4" s="737" t="str">
        <f t="shared" ca="1" si="1"/>
        <v/>
      </c>
      <c r="DW4" s="737">
        <f t="shared" ca="1" si="1"/>
        <v>41498</v>
      </c>
      <c r="DX4" s="737" t="str">
        <f t="shared" ca="1" si="1"/>
        <v/>
      </c>
      <c r="DY4" s="737" t="str">
        <f t="shared" ca="1" si="1"/>
        <v/>
      </c>
      <c r="DZ4" s="737" t="str">
        <f t="shared" ca="1" si="1"/>
        <v/>
      </c>
      <c r="EA4" s="737" t="str">
        <f t="shared" ca="1" si="1"/>
        <v/>
      </c>
      <c r="EB4" s="737" t="str">
        <f t="shared" ca="1" si="1"/>
        <v/>
      </c>
      <c r="EC4" s="737" t="str">
        <f t="shared" ca="1" si="1"/>
        <v/>
      </c>
      <c r="ED4" s="737">
        <f t="shared" ca="1" si="1"/>
        <v>41505</v>
      </c>
      <c r="EE4" s="737" t="str">
        <f t="shared" ca="1" si="1"/>
        <v/>
      </c>
      <c r="EF4" s="737" t="str">
        <f t="shared" ca="1" si="1"/>
        <v/>
      </c>
      <c r="EG4" s="737" t="str">
        <f t="shared" ca="1" si="1"/>
        <v/>
      </c>
      <c r="EH4" s="737" t="str">
        <f t="shared" ca="1" si="1"/>
        <v/>
      </c>
      <c r="EI4" s="737" t="str">
        <f t="shared" ca="1" si="1"/>
        <v/>
      </c>
      <c r="EJ4" s="737" t="str">
        <f t="shared" ref="EJ4:GU4" ca="1" si="2">IF(WEEKDAY(EJ$6)=2,EJ6,"")</f>
        <v/>
      </c>
      <c r="EK4" s="737">
        <f t="shared" ca="1" si="2"/>
        <v>41512</v>
      </c>
      <c r="EL4" s="737" t="str">
        <f t="shared" ca="1" si="2"/>
        <v/>
      </c>
      <c r="EM4" s="737" t="str">
        <f t="shared" ca="1" si="2"/>
        <v/>
      </c>
      <c r="EN4" s="737" t="str">
        <f t="shared" ca="1" si="2"/>
        <v/>
      </c>
      <c r="EO4" s="737" t="str">
        <f t="shared" ca="1" si="2"/>
        <v/>
      </c>
      <c r="EP4" s="737" t="str">
        <f t="shared" ca="1" si="2"/>
        <v/>
      </c>
      <c r="EQ4" s="737" t="str">
        <f t="shared" ca="1" si="2"/>
        <v/>
      </c>
      <c r="ER4" s="737">
        <f t="shared" ca="1" si="2"/>
        <v>41519</v>
      </c>
      <c r="ES4" s="737" t="str">
        <f t="shared" ca="1" si="2"/>
        <v/>
      </c>
      <c r="ET4" s="737" t="str">
        <f t="shared" ca="1" si="2"/>
        <v/>
      </c>
      <c r="EU4" s="737" t="str">
        <f t="shared" ca="1" si="2"/>
        <v/>
      </c>
      <c r="EV4" s="737" t="str">
        <f t="shared" ca="1" si="2"/>
        <v/>
      </c>
      <c r="EW4" s="737" t="str">
        <f t="shared" ca="1" si="2"/>
        <v/>
      </c>
      <c r="EX4" s="737" t="str">
        <f t="shared" ca="1" si="2"/>
        <v/>
      </c>
      <c r="EY4" s="737">
        <f t="shared" ca="1" si="2"/>
        <v>41526</v>
      </c>
      <c r="EZ4" s="737" t="str">
        <f t="shared" ca="1" si="2"/>
        <v/>
      </c>
      <c r="FA4" s="737" t="str">
        <f t="shared" ca="1" si="2"/>
        <v/>
      </c>
      <c r="FB4" s="737" t="str">
        <f t="shared" ca="1" si="2"/>
        <v/>
      </c>
      <c r="FC4" s="737" t="str">
        <f t="shared" ca="1" si="2"/>
        <v/>
      </c>
      <c r="FD4" s="737" t="str">
        <f t="shared" ca="1" si="2"/>
        <v/>
      </c>
      <c r="FE4" s="737" t="str">
        <f t="shared" ca="1" si="2"/>
        <v/>
      </c>
      <c r="FF4" s="737">
        <f t="shared" ca="1" si="2"/>
        <v>41533</v>
      </c>
      <c r="FG4" s="737" t="str">
        <f t="shared" ca="1" si="2"/>
        <v/>
      </c>
      <c r="FH4" s="737" t="str">
        <f t="shared" ca="1" si="2"/>
        <v/>
      </c>
      <c r="FI4" s="737" t="str">
        <f t="shared" ca="1" si="2"/>
        <v/>
      </c>
      <c r="FJ4" s="737" t="str">
        <f t="shared" ca="1" si="2"/>
        <v/>
      </c>
      <c r="FK4" s="737" t="str">
        <f t="shared" ca="1" si="2"/>
        <v/>
      </c>
      <c r="FL4" s="737" t="str">
        <f t="shared" ca="1" si="2"/>
        <v/>
      </c>
      <c r="FM4" s="737">
        <f t="shared" ca="1" si="2"/>
        <v>41540</v>
      </c>
      <c r="FN4" s="737" t="str">
        <f t="shared" ca="1" si="2"/>
        <v/>
      </c>
      <c r="FO4" s="737" t="str">
        <f t="shared" ca="1" si="2"/>
        <v/>
      </c>
      <c r="FP4" s="737" t="str">
        <f t="shared" ca="1" si="2"/>
        <v/>
      </c>
      <c r="FQ4" s="737" t="str">
        <f t="shared" ca="1" si="2"/>
        <v/>
      </c>
      <c r="FR4" s="737" t="str">
        <f t="shared" ca="1" si="2"/>
        <v/>
      </c>
      <c r="FS4" s="737" t="str">
        <f t="shared" ca="1" si="2"/>
        <v/>
      </c>
      <c r="FT4" s="737">
        <f t="shared" ca="1" si="2"/>
        <v>41547</v>
      </c>
      <c r="FU4" s="737" t="str">
        <f t="shared" ca="1" si="2"/>
        <v/>
      </c>
      <c r="FV4" s="737" t="str">
        <f t="shared" ca="1" si="2"/>
        <v/>
      </c>
      <c r="FW4" s="737" t="str">
        <f t="shared" ca="1" si="2"/>
        <v/>
      </c>
      <c r="FX4" s="737" t="str">
        <f t="shared" ca="1" si="2"/>
        <v/>
      </c>
      <c r="FY4" s="737" t="str">
        <f t="shared" ca="1" si="2"/>
        <v/>
      </c>
      <c r="FZ4" s="737" t="str">
        <f t="shared" ca="1" si="2"/>
        <v/>
      </c>
      <c r="GA4" s="737">
        <f t="shared" ca="1" si="2"/>
        <v>41554</v>
      </c>
      <c r="GB4" s="737" t="str">
        <f t="shared" ca="1" si="2"/>
        <v/>
      </c>
      <c r="GC4" s="737" t="str">
        <f t="shared" ca="1" si="2"/>
        <v/>
      </c>
      <c r="GD4" s="737" t="str">
        <f t="shared" ca="1" si="2"/>
        <v/>
      </c>
      <c r="GE4" s="737" t="str">
        <f t="shared" ca="1" si="2"/>
        <v/>
      </c>
      <c r="GF4" s="737" t="str">
        <f t="shared" ca="1" si="2"/>
        <v/>
      </c>
      <c r="GG4" s="737" t="str">
        <f t="shared" ca="1" si="2"/>
        <v/>
      </c>
      <c r="GH4" s="737">
        <f t="shared" ca="1" si="2"/>
        <v>41561</v>
      </c>
      <c r="GI4" s="737" t="str">
        <f t="shared" ca="1" si="2"/>
        <v/>
      </c>
      <c r="GJ4" s="737" t="str">
        <f t="shared" ca="1" si="2"/>
        <v/>
      </c>
      <c r="GK4" s="737" t="str">
        <f t="shared" ca="1" si="2"/>
        <v/>
      </c>
      <c r="GL4" s="737" t="str">
        <f t="shared" ca="1" si="2"/>
        <v/>
      </c>
      <c r="GM4" s="737" t="str">
        <f t="shared" ca="1" si="2"/>
        <v/>
      </c>
      <c r="GN4" s="737" t="str">
        <f t="shared" ca="1" si="2"/>
        <v/>
      </c>
      <c r="GO4" s="737">
        <f t="shared" ca="1" si="2"/>
        <v>41568</v>
      </c>
      <c r="GP4" s="737" t="str">
        <f t="shared" ca="1" si="2"/>
        <v/>
      </c>
      <c r="GQ4" s="737" t="str">
        <f t="shared" ca="1" si="2"/>
        <v/>
      </c>
      <c r="GR4" s="737" t="str">
        <f t="shared" ca="1" si="2"/>
        <v/>
      </c>
      <c r="GS4" s="737" t="str">
        <f t="shared" ca="1" si="2"/>
        <v/>
      </c>
      <c r="GT4" s="737" t="str">
        <f t="shared" ca="1" si="2"/>
        <v/>
      </c>
      <c r="GU4" s="737" t="str">
        <f t="shared" ca="1" si="2"/>
        <v/>
      </c>
      <c r="GV4" s="737">
        <f t="shared" ref="GV4:JG4" ca="1" si="3">IF(WEEKDAY(GV$6)=2,GV6,"")</f>
        <v>41575</v>
      </c>
      <c r="GW4" s="737" t="str">
        <f t="shared" ca="1" si="3"/>
        <v/>
      </c>
      <c r="GX4" s="737" t="str">
        <f t="shared" ca="1" si="3"/>
        <v/>
      </c>
      <c r="GY4" s="737" t="str">
        <f t="shared" ca="1" si="3"/>
        <v/>
      </c>
      <c r="GZ4" s="737" t="str">
        <f t="shared" ca="1" si="3"/>
        <v/>
      </c>
      <c r="HA4" s="737" t="str">
        <f t="shared" ca="1" si="3"/>
        <v/>
      </c>
      <c r="HB4" s="737" t="str">
        <f t="shared" ca="1" si="3"/>
        <v/>
      </c>
      <c r="HC4" s="737">
        <f t="shared" ca="1" si="3"/>
        <v>41582</v>
      </c>
      <c r="HD4" s="737" t="str">
        <f t="shared" ca="1" si="3"/>
        <v/>
      </c>
      <c r="HE4" s="737" t="str">
        <f t="shared" ca="1" si="3"/>
        <v/>
      </c>
      <c r="HF4" s="737" t="str">
        <f t="shared" ca="1" si="3"/>
        <v/>
      </c>
      <c r="HG4" s="737" t="str">
        <f t="shared" ca="1" si="3"/>
        <v/>
      </c>
      <c r="HH4" s="737" t="str">
        <f t="shared" ca="1" si="3"/>
        <v/>
      </c>
      <c r="HI4" s="737" t="str">
        <f t="shared" ca="1" si="3"/>
        <v/>
      </c>
      <c r="HJ4" s="737">
        <f t="shared" ca="1" si="3"/>
        <v>41589</v>
      </c>
      <c r="HK4" s="737" t="str">
        <f t="shared" ca="1" si="3"/>
        <v/>
      </c>
      <c r="HL4" s="737" t="str">
        <f t="shared" ca="1" si="3"/>
        <v/>
      </c>
      <c r="HM4" s="737" t="str">
        <f t="shared" ca="1" si="3"/>
        <v/>
      </c>
      <c r="HN4" s="737" t="str">
        <f t="shared" ca="1" si="3"/>
        <v/>
      </c>
      <c r="HO4" s="737" t="str">
        <f t="shared" ca="1" si="3"/>
        <v/>
      </c>
      <c r="HP4" s="737" t="str">
        <f t="shared" ca="1" si="3"/>
        <v/>
      </c>
      <c r="HQ4" s="737">
        <f t="shared" ca="1" si="3"/>
        <v>41596</v>
      </c>
      <c r="HR4" s="737" t="str">
        <f t="shared" ca="1" si="3"/>
        <v/>
      </c>
      <c r="HS4" s="737" t="str">
        <f t="shared" ca="1" si="3"/>
        <v/>
      </c>
      <c r="HT4" s="737" t="str">
        <f t="shared" ca="1" si="3"/>
        <v/>
      </c>
      <c r="HU4" s="737" t="str">
        <f t="shared" ca="1" si="3"/>
        <v/>
      </c>
      <c r="HV4" s="737" t="str">
        <f t="shared" ca="1" si="3"/>
        <v/>
      </c>
      <c r="HW4" s="737" t="str">
        <f t="shared" ca="1" si="3"/>
        <v/>
      </c>
      <c r="HX4" s="737">
        <f t="shared" ca="1" si="3"/>
        <v>41603</v>
      </c>
      <c r="HY4" s="737" t="str">
        <f t="shared" ca="1" si="3"/>
        <v/>
      </c>
      <c r="HZ4" s="737" t="str">
        <f t="shared" ca="1" si="3"/>
        <v/>
      </c>
      <c r="IA4" s="737" t="str">
        <f t="shared" ca="1" si="3"/>
        <v/>
      </c>
      <c r="IB4" s="737" t="str">
        <f t="shared" ca="1" si="3"/>
        <v/>
      </c>
      <c r="IC4" s="737" t="str">
        <f t="shared" ca="1" si="3"/>
        <v/>
      </c>
      <c r="ID4" s="737" t="str">
        <f t="shared" ca="1" si="3"/>
        <v/>
      </c>
      <c r="IE4" s="737">
        <f t="shared" ca="1" si="3"/>
        <v>41610</v>
      </c>
      <c r="IF4" s="737" t="str">
        <f t="shared" ca="1" si="3"/>
        <v/>
      </c>
      <c r="IG4" s="737" t="str">
        <f t="shared" ca="1" si="3"/>
        <v/>
      </c>
      <c r="IH4" s="737" t="str">
        <f t="shared" ca="1" si="3"/>
        <v/>
      </c>
      <c r="II4" s="737" t="str">
        <f t="shared" ca="1" si="3"/>
        <v/>
      </c>
      <c r="IJ4" s="737" t="str">
        <f t="shared" ca="1" si="3"/>
        <v/>
      </c>
      <c r="IK4" s="737" t="str">
        <f t="shared" ca="1" si="3"/>
        <v/>
      </c>
      <c r="IL4" s="737">
        <f t="shared" ca="1" si="3"/>
        <v>41617</v>
      </c>
      <c r="IM4" s="737" t="str">
        <f t="shared" ca="1" si="3"/>
        <v/>
      </c>
      <c r="IN4" s="737" t="str">
        <f t="shared" ca="1" si="3"/>
        <v/>
      </c>
      <c r="IO4" s="737" t="str">
        <f t="shared" ca="1" si="3"/>
        <v/>
      </c>
      <c r="IP4" s="737" t="str">
        <f t="shared" ca="1" si="3"/>
        <v/>
      </c>
      <c r="IQ4" s="737" t="str">
        <f t="shared" ca="1" si="3"/>
        <v/>
      </c>
      <c r="IR4" s="737" t="str">
        <f t="shared" ca="1" si="3"/>
        <v/>
      </c>
      <c r="IS4" s="737">
        <f t="shared" ca="1" si="3"/>
        <v>41624</v>
      </c>
      <c r="IT4" s="737" t="str">
        <f t="shared" ca="1" si="3"/>
        <v/>
      </c>
      <c r="IU4" s="737" t="str">
        <f t="shared" ca="1" si="3"/>
        <v/>
      </c>
      <c r="IV4" s="737" t="str">
        <f t="shared" ca="1" si="3"/>
        <v/>
      </c>
      <c r="IW4" s="737" t="str">
        <f t="shared" ca="1" si="3"/>
        <v/>
      </c>
      <c r="IX4" s="737" t="str">
        <f t="shared" ca="1" si="3"/>
        <v/>
      </c>
      <c r="IY4" s="737" t="str">
        <f t="shared" ca="1" si="3"/>
        <v/>
      </c>
      <c r="IZ4" s="737">
        <f t="shared" ca="1" si="3"/>
        <v>41631</v>
      </c>
      <c r="JA4" s="737" t="str">
        <f t="shared" ca="1" si="3"/>
        <v/>
      </c>
      <c r="JB4" s="737" t="str">
        <f t="shared" ca="1" si="3"/>
        <v/>
      </c>
      <c r="JC4" s="737" t="str">
        <f t="shared" ca="1" si="3"/>
        <v/>
      </c>
      <c r="JD4" s="737" t="str">
        <f t="shared" ca="1" si="3"/>
        <v/>
      </c>
      <c r="JE4" s="737" t="str">
        <f t="shared" ca="1" si="3"/>
        <v/>
      </c>
      <c r="JF4" s="737" t="str">
        <f t="shared" ca="1" si="3"/>
        <v/>
      </c>
      <c r="JG4" s="737">
        <f t="shared" ca="1" si="3"/>
        <v>41638</v>
      </c>
      <c r="JH4" s="737" t="str">
        <f t="shared" ref="JH4:LS4" ca="1" si="4">IF(WEEKDAY(JH$6)=2,JH6,"")</f>
        <v/>
      </c>
      <c r="JI4" s="737" t="str">
        <f t="shared" ca="1" si="4"/>
        <v/>
      </c>
      <c r="JJ4" s="737" t="str">
        <f t="shared" ca="1" si="4"/>
        <v/>
      </c>
      <c r="JK4" s="737" t="str">
        <f t="shared" ca="1" si="4"/>
        <v/>
      </c>
      <c r="JL4" s="737" t="str">
        <f t="shared" ca="1" si="4"/>
        <v/>
      </c>
      <c r="JM4" s="737" t="str">
        <f t="shared" ca="1" si="4"/>
        <v/>
      </c>
      <c r="JN4" s="737">
        <f t="shared" ca="1" si="4"/>
        <v>41645</v>
      </c>
      <c r="JO4" s="737" t="str">
        <f t="shared" ca="1" si="4"/>
        <v/>
      </c>
      <c r="JP4" s="737" t="str">
        <f t="shared" ca="1" si="4"/>
        <v/>
      </c>
      <c r="JQ4" s="737" t="str">
        <f t="shared" ca="1" si="4"/>
        <v/>
      </c>
      <c r="JR4" s="737" t="str">
        <f t="shared" ca="1" si="4"/>
        <v/>
      </c>
      <c r="JS4" s="737" t="str">
        <f t="shared" ca="1" si="4"/>
        <v/>
      </c>
      <c r="JT4" s="737" t="str">
        <f t="shared" ca="1" si="4"/>
        <v/>
      </c>
      <c r="JU4" s="737">
        <f t="shared" ca="1" si="4"/>
        <v>41652</v>
      </c>
      <c r="JV4" s="737" t="str">
        <f t="shared" ca="1" si="4"/>
        <v/>
      </c>
      <c r="JW4" s="737" t="str">
        <f t="shared" ca="1" si="4"/>
        <v/>
      </c>
      <c r="JX4" s="737" t="str">
        <f t="shared" ca="1" si="4"/>
        <v/>
      </c>
      <c r="JY4" s="737" t="str">
        <f t="shared" ca="1" si="4"/>
        <v/>
      </c>
      <c r="JZ4" s="737" t="str">
        <f t="shared" ca="1" si="4"/>
        <v/>
      </c>
      <c r="KA4" s="737" t="str">
        <f t="shared" ca="1" si="4"/>
        <v/>
      </c>
      <c r="KB4" s="737">
        <f t="shared" ca="1" si="4"/>
        <v>41659</v>
      </c>
      <c r="KC4" s="737" t="str">
        <f t="shared" ca="1" si="4"/>
        <v/>
      </c>
      <c r="KD4" s="737" t="str">
        <f t="shared" ca="1" si="4"/>
        <v/>
      </c>
      <c r="KE4" s="737" t="str">
        <f t="shared" ca="1" si="4"/>
        <v/>
      </c>
      <c r="KF4" s="737" t="str">
        <f t="shared" ca="1" si="4"/>
        <v/>
      </c>
      <c r="KG4" s="737" t="str">
        <f t="shared" ca="1" si="4"/>
        <v/>
      </c>
      <c r="KH4" s="737" t="str">
        <f t="shared" ca="1" si="4"/>
        <v/>
      </c>
      <c r="KI4" s="737">
        <f t="shared" ca="1" si="4"/>
        <v>41666</v>
      </c>
      <c r="KJ4" s="737" t="str">
        <f t="shared" ca="1" si="4"/>
        <v/>
      </c>
      <c r="KK4" s="737" t="str">
        <f t="shared" ca="1" si="4"/>
        <v/>
      </c>
      <c r="KL4" s="737" t="str">
        <f t="shared" ca="1" si="4"/>
        <v/>
      </c>
      <c r="KM4" s="737" t="str">
        <f t="shared" ca="1" si="4"/>
        <v/>
      </c>
      <c r="KN4" s="737" t="str">
        <f t="shared" ca="1" si="4"/>
        <v/>
      </c>
      <c r="KO4" s="737" t="str">
        <f t="shared" ca="1" si="4"/>
        <v/>
      </c>
      <c r="KP4" s="737">
        <f t="shared" ca="1" si="4"/>
        <v>41673</v>
      </c>
      <c r="KQ4" s="737" t="str">
        <f t="shared" ca="1" si="4"/>
        <v/>
      </c>
      <c r="KR4" s="737" t="str">
        <f t="shared" ca="1" si="4"/>
        <v/>
      </c>
      <c r="KS4" s="737" t="str">
        <f t="shared" ca="1" si="4"/>
        <v/>
      </c>
      <c r="KT4" s="737" t="str">
        <f t="shared" ca="1" si="4"/>
        <v/>
      </c>
      <c r="KU4" s="737" t="str">
        <f t="shared" ca="1" si="4"/>
        <v/>
      </c>
      <c r="KV4" s="737" t="str">
        <f t="shared" ca="1" si="4"/>
        <v/>
      </c>
      <c r="KW4" s="737">
        <f t="shared" ca="1" si="4"/>
        <v>41680</v>
      </c>
      <c r="KX4" s="737" t="str">
        <f t="shared" ca="1" si="4"/>
        <v/>
      </c>
      <c r="KY4" s="737" t="str">
        <f t="shared" ca="1" si="4"/>
        <v/>
      </c>
      <c r="KZ4" s="737" t="str">
        <f t="shared" ca="1" si="4"/>
        <v/>
      </c>
      <c r="LA4" s="737" t="str">
        <f t="shared" ca="1" si="4"/>
        <v/>
      </c>
      <c r="LB4" s="737" t="str">
        <f t="shared" ca="1" si="4"/>
        <v/>
      </c>
      <c r="LC4" s="737" t="str">
        <f t="shared" ca="1" si="4"/>
        <v/>
      </c>
      <c r="LD4" s="737">
        <f t="shared" ca="1" si="4"/>
        <v>41687</v>
      </c>
      <c r="LE4" s="737" t="str">
        <f t="shared" ca="1" si="4"/>
        <v/>
      </c>
      <c r="LF4" s="737" t="str">
        <f t="shared" ca="1" si="4"/>
        <v/>
      </c>
      <c r="LG4" s="737" t="str">
        <f t="shared" ca="1" si="4"/>
        <v/>
      </c>
      <c r="LH4" s="737" t="str">
        <f t="shared" ca="1" si="4"/>
        <v/>
      </c>
      <c r="LI4" s="737" t="str">
        <f t="shared" ca="1" si="4"/>
        <v/>
      </c>
      <c r="LJ4" s="737" t="str">
        <f t="shared" ca="1" si="4"/>
        <v/>
      </c>
      <c r="LK4" s="737">
        <f t="shared" ca="1" si="4"/>
        <v>41694</v>
      </c>
      <c r="LL4" s="737" t="str">
        <f t="shared" ca="1" si="4"/>
        <v/>
      </c>
      <c r="LM4" s="737" t="str">
        <f t="shared" ca="1" si="4"/>
        <v/>
      </c>
      <c r="LN4" s="737" t="str">
        <f t="shared" ca="1" si="4"/>
        <v/>
      </c>
      <c r="LO4" s="737" t="str">
        <f t="shared" ca="1" si="4"/>
        <v/>
      </c>
      <c r="LP4" s="737" t="str">
        <f t="shared" ca="1" si="4"/>
        <v/>
      </c>
      <c r="LQ4" s="737" t="str">
        <f t="shared" ca="1" si="4"/>
        <v/>
      </c>
      <c r="LR4" s="737">
        <f t="shared" ca="1" si="4"/>
        <v>41701</v>
      </c>
      <c r="LS4" s="737" t="str">
        <f t="shared" ca="1" si="4"/>
        <v/>
      </c>
      <c r="LT4" s="737" t="str">
        <f t="shared" ref="LT4:OE4" ca="1" si="5">IF(WEEKDAY(LT$6)=2,LT6,"")</f>
        <v/>
      </c>
      <c r="LU4" s="737" t="str">
        <f t="shared" ca="1" si="5"/>
        <v/>
      </c>
      <c r="LV4" s="737" t="str">
        <f t="shared" ca="1" si="5"/>
        <v/>
      </c>
      <c r="LW4" s="737" t="str">
        <f t="shared" ca="1" si="5"/>
        <v/>
      </c>
      <c r="LX4" s="737" t="str">
        <f t="shared" ca="1" si="5"/>
        <v/>
      </c>
      <c r="LY4" s="737">
        <f t="shared" ca="1" si="5"/>
        <v>41708</v>
      </c>
      <c r="LZ4" s="737" t="str">
        <f t="shared" ca="1" si="5"/>
        <v/>
      </c>
      <c r="MA4" s="737" t="str">
        <f t="shared" ca="1" si="5"/>
        <v/>
      </c>
      <c r="MB4" s="737" t="str">
        <f t="shared" ca="1" si="5"/>
        <v/>
      </c>
      <c r="MC4" s="737" t="str">
        <f t="shared" ca="1" si="5"/>
        <v/>
      </c>
      <c r="MD4" s="737" t="str">
        <f t="shared" ca="1" si="5"/>
        <v/>
      </c>
      <c r="ME4" s="737" t="str">
        <f t="shared" ca="1" si="5"/>
        <v/>
      </c>
      <c r="MF4" s="737">
        <f t="shared" ca="1" si="5"/>
        <v>41715</v>
      </c>
      <c r="MG4" s="737" t="str">
        <f t="shared" ca="1" si="5"/>
        <v/>
      </c>
      <c r="MH4" s="737" t="str">
        <f t="shared" ca="1" si="5"/>
        <v/>
      </c>
      <c r="MI4" s="737" t="str">
        <f t="shared" ca="1" si="5"/>
        <v/>
      </c>
      <c r="MJ4" s="737" t="str">
        <f t="shared" ca="1" si="5"/>
        <v/>
      </c>
      <c r="MK4" s="737" t="str">
        <f t="shared" ca="1" si="5"/>
        <v/>
      </c>
      <c r="ML4" s="737" t="str">
        <f t="shared" ca="1" si="5"/>
        <v/>
      </c>
      <c r="MM4" s="737">
        <f t="shared" ca="1" si="5"/>
        <v>41722</v>
      </c>
      <c r="MN4" s="737" t="str">
        <f t="shared" ca="1" si="5"/>
        <v/>
      </c>
      <c r="MO4" s="737" t="str">
        <f t="shared" ca="1" si="5"/>
        <v/>
      </c>
      <c r="MP4" s="737" t="str">
        <f t="shared" ca="1" si="5"/>
        <v/>
      </c>
      <c r="MQ4" s="737" t="str">
        <f t="shared" ca="1" si="5"/>
        <v/>
      </c>
      <c r="MR4" s="737" t="str">
        <f t="shared" ca="1" si="5"/>
        <v/>
      </c>
      <c r="MS4" s="737" t="str">
        <f t="shared" ca="1" si="5"/>
        <v/>
      </c>
      <c r="MT4" s="737">
        <f t="shared" ca="1" si="5"/>
        <v>41729</v>
      </c>
      <c r="MU4" s="737" t="str">
        <f t="shared" ca="1" si="5"/>
        <v/>
      </c>
      <c r="MV4" s="737" t="str">
        <f t="shared" ca="1" si="5"/>
        <v/>
      </c>
      <c r="MW4" s="737" t="str">
        <f t="shared" ca="1" si="5"/>
        <v/>
      </c>
      <c r="MX4" s="737" t="str">
        <f t="shared" ca="1" si="5"/>
        <v/>
      </c>
      <c r="MY4" s="737" t="str">
        <f t="shared" ca="1" si="5"/>
        <v/>
      </c>
      <c r="MZ4" s="737" t="str">
        <f t="shared" ca="1" si="5"/>
        <v/>
      </c>
      <c r="NA4" s="737">
        <f t="shared" ca="1" si="5"/>
        <v>41736</v>
      </c>
      <c r="NB4" s="737" t="str">
        <f t="shared" ca="1" si="5"/>
        <v/>
      </c>
      <c r="NC4" s="737" t="str">
        <f t="shared" ca="1" si="5"/>
        <v/>
      </c>
      <c r="ND4" s="737" t="str">
        <f t="shared" ca="1" si="5"/>
        <v/>
      </c>
      <c r="NE4" s="737" t="str">
        <f t="shared" ca="1" si="5"/>
        <v/>
      </c>
      <c r="NF4" s="737" t="str">
        <f t="shared" ca="1" si="5"/>
        <v/>
      </c>
      <c r="NG4" s="737" t="str">
        <f t="shared" ca="1" si="5"/>
        <v/>
      </c>
      <c r="NH4" s="737">
        <f t="shared" ca="1" si="5"/>
        <v>41743</v>
      </c>
      <c r="NI4" s="737" t="str">
        <f t="shared" ca="1" si="5"/>
        <v/>
      </c>
      <c r="NJ4" s="737" t="str">
        <f t="shared" ca="1" si="5"/>
        <v/>
      </c>
      <c r="NK4" s="737" t="str">
        <f t="shared" ca="1" si="5"/>
        <v/>
      </c>
      <c r="NL4" s="737" t="str">
        <f t="shared" ca="1" si="5"/>
        <v/>
      </c>
      <c r="NM4" s="737" t="str">
        <f t="shared" ca="1" si="5"/>
        <v/>
      </c>
      <c r="NN4" s="737" t="str">
        <f t="shared" ca="1" si="5"/>
        <v/>
      </c>
      <c r="NO4" s="737">
        <f t="shared" ca="1" si="5"/>
        <v>41750</v>
      </c>
      <c r="NP4" s="737" t="str">
        <f t="shared" ca="1" si="5"/>
        <v/>
      </c>
      <c r="NQ4" s="737" t="str">
        <f t="shared" ca="1" si="5"/>
        <v/>
      </c>
      <c r="NR4" s="737" t="str">
        <f t="shared" ca="1" si="5"/>
        <v/>
      </c>
      <c r="NS4" s="737" t="str">
        <f t="shared" ca="1" si="5"/>
        <v/>
      </c>
      <c r="NT4" s="737" t="str">
        <f t="shared" ca="1" si="5"/>
        <v/>
      </c>
      <c r="NU4" s="737" t="str">
        <f t="shared" ca="1" si="5"/>
        <v/>
      </c>
      <c r="NV4" s="737">
        <f t="shared" ca="1" si="5"/>
        <v>41757</v>
      </c>
      <c r="NW4" s="737" t="str">
        <f t="shared" ca="1" si="5"/>
        <v/>
      </c>
      <c r="NX4" s="737" t="str">
        <f t="shared" ca="1" si="5"/>
        <v/>
      </c>
      <c r="NY4" s="737" t="str">
        <f t="shared" ca="1" si="5"/>
        <v/>
      </c>
      <c r="NZ4" s="737" t="str">
        <f t="shared" ca="1" si="5"/>
        <v/>
      </c>
      <c r="OA4" s="737" t="str">
        <f t="shared" ca="1" si="5"/>
        <v/>
      </c>
      <c r="OB4" s="737" t="str">
        <f t="shared" ca="1" si="5"/>
        <v/>
      </c>
      <c r="OC4" s="737">
        <f t="shared" ca="1" si="5"/>
        <v>41764</v>
      </c>
      <c r="OD4" s="737" t="str">
        <f t="shared" ca="1" si="5"/>
        <v/>
      </c>
      <c r="OE4" s="737" t="str">
        <f t="shared" ca="1" si="5"/>
        <v/>
      </c>
      <c r="OF4" s="737" t="str">
        <f t="shared" ref="OF4:QQ4" ca="1" si="6">IF(WEEKDAY(OF$6)=2,OF6,"")</f>
        <v/>
      </c>
      <c r="OG4" s="737" t="str">
        <f t="shared" ca="1" si="6"/>
        <v/>
      </c>
      <c r="OH4" s="737" t="str">
        <f t="shared" ca="1" si="6"/>
        <v/>
      </c>
      <c r="OI4" s="737" t="str">
        <f t="shared" ca="1" si="6"/>
        <v/>
      </c>
      <c r="OJ4" s="737">
        <f t="shared" ca="1" si="6"/>
        <v>41771</v>
      </c>
      <c r="OK4" s="737" t="str">
        <f t="shared" ca="1" si="6"/>
        <v/>
      </c>
      <c r="OL4" s="737" t="str">
        <f t="shared" ca="1" si="6"/>
        <v/>
      </c>
      <c r="OM4" s="737" t="str">
        <f t="shared" ca="1" si="6"/>
        <v/>
      </c>
      <c r="ON4" s="737" t="str">
        <f t="shared" ca="1" si="6"/>
        <v/>
      </c>
      <c r="OO4" s="737" t="str">
        <f t="shared" ca="1" si="6"/>
        <v/>
      </c>
      <c r="OP4" s="737" t="str">
        <f t="shared" ca="1" si="6"/>
        <v/>
      </c>
      <c r="OQ4" s="737">
        <f t="shared" ca="1" si="6"/>
        <v>41778</v>
      </c>
      <c r="OR4" s="737" t="str">
        <f t="shared" ca="1" si="6"/>
        <v/>
      </c>
      <c r="OS4" s="737" t="str">
        <f t="shared" ca="1" si="6"/>
        <v/>
      </c>
      <c r="OT4" s="737" t="str">
        <f t="shared" ca="1" si="6"/>
        <v/>
      </c>
      <c r="OU4" s="737" t="str">
        <f t="shared" ca="1" si="6"/>
        <v/>
      </c>
      <c r="OV4" s="737" t="str">
        <f t="shared" ca="1" si="6"/>
        <v/>
      </c>
      <c r="OW4" s="737" t="str">
        <f t="shared" ca="1" si="6"/>
        <v/>
      </c>
      <c r="OX4" s="737">
        <f t="shared" ca="1" si="6"/>
        <v>41785</v>
      </c>
      <c r="OY4" s="737" t="str">
        <f t="shared" ca="1" si="6"/>
        <v/>
      </c>
      <c r="OZ4" s="737" t="str">
        <f t="shared" ca="1" si="6"/>
        <v/>
      </c>
      <c r="PA4" s="737" t="str">
        <f t="shared" ca="1" si="6"/>
        <v/>
      </c>
      <c r="PB4" s="737" t="str">
        <f t="shared" ca="1" si="6"/>
        <v/>
      </c>
      <c r="PC4" s="737" t="str">
        <f t="shared" ca="1" si="6"/>
        <v/>
      </c>
      <c r="PD4" s="737" t="str">
        <f t="shared" ca="1" si="6"/>
        <v/>
      </c>
      <c r="PE4" s="737">
        <f t="shared" ca="1" si="6"/>
        <v>41792</v>
      </c>
      <c r="PF4" s="737" t="str">
        <f t="shared" ca="1" si="6"/>
        <v/>
      </c>
      <c r="PG4" s="737" t="str">
        <f t="shared" ca="1" si="6"/>
        <v/>
      </c>
      <c r="PH4" s="737" t="str">
        <f t="shared" ca="1" si="6"/>
        <v/>
      </c>
      <c r="PI4" s="737" t="str">
        <f t="shared" ca="1" si="6"/>
        <v/>
      </c>
      <c r="PJ4" s="737" t="str">
        <f t="shared" ca="1" si="6"/>
        <v/>
      </c>
      <c r="PK4" s="737" t="str">
        <f t="shared" ca="1" si="6"/>
        <v/>
      </c>
      <c r="PL4" s="737">
        <f t="shared" ca="1" si="6"/>
        <v>41799</v>
      </c>
      <c r="PM4" s="737" t="str">
        <f t="shared" ca="1" si="6"/>
        <v/>
      </c>
      <c r="PN4" s="737" t="str">
        <f t="shared" ca="1" si="6"/>
        <v/>
      </c>
      <c r="PO4" s="737" t="str">
        <f t="shared" ca="1" si="6"/>
        <v/>
      </c>
      <c r="PP4" s="737" t="str">
        <f t="shared" ca="1" si="6"/>
        <v/>
      </c>
      <c r="PQ4" s="737" t="str">
        <f t="shared" ca="1" si="6"/>
        <v/>
      </c>
      <c r="PR4" s="737" t="str">
        <f t="shared" ca="1" si="6"/>
        <v/>
      </c>
      <c r="PS4" s="737">
        <f t="shared" ca="1" si="6"/>
        <v>41806</v>
      </c>
      <c r="PT4" s="737" t="str">
        <f t="shared" ca="1" si="6"/>
        <v/>
      </c>
      <c r="PU4" s="737" t="str">
        <f t="shared" ca="1" si="6"/>
        <v/>
      </c>
      <c r="PV4" s="737" t="str">
        <f t="shared" ca="1" si="6"/>
        <v/>
      </c>
      <c r="PW4" s="737" t="str">
        <f t="shared" ca="1" si="6"/>
        <v/>
      </c>
      <c r="PX4" s="737" t="str">
        <f t="shared" ca="1" si="6"/>
        <v/>
      </c>
      <c r="PY4" s="737" t="str">
        <f t="shared" ca="1" si="6"/>
        <v/>
      </c>
      <c r="PZ4" s="737">
        <f t="shared" ca="1" si="6"/>
        <v>41813</v>
      </c>
      <c r="QA4" s="737" t="str">
        <f t="shared" ca="1" si="6"/>
        <v/>
      </c>
      <c r="QB4" s="737" t="str">
        <f t="shared" ca="1" si="6"/>
        <v/>
      </c>
      <c r="QC4" s="737" t="str">
        <f t="shared" ca="1" si="6"/>
        <v/>
      </c>
      <c r="QD4" s="737" t="str">
        <f t="shared" ca="1" si="6"/>
        <v/>
      </c>
      <c r="QE4" s="737" t="str">
        <f t="shared" ca="1" si="6"/>
        <v/>
      </c>
      <c r="QF4" s="737" t="str">
        <f t="shared" ca="1" si="6"/>
        <v/>
      </c>
      <c r="QG4" s="737">
        <f t="shared" ca="1" si="6"/>
        <v>41820</v>
      </c>
      <c r="QH4" s="737" t="str">
        <f t="shared" ca="1" si="6"/>
        <v/>
      </c>
      <c r="QI4" s="737" t="str">
        <f t="shared" ca="1" si="6"/>
        <v/>
      </c>
      <c r="QJ4" s="737" t="str">
        <f t="shared" ca="1" si="6"/>
        <v/>
      </c>
      <c r="QK4" s="737" t="str">
        <f t="shared" ca="1" si="6"/>
        <v/>
      </c>
      <c r="QL4" s="737" t="str">
        <f t="shared" ca="1" si="6"/>
        <v/>
      </c>
      <c r="QM4" s="737" t="str">
        <f t="shared" ca="1" si="6"/>
        <v/>
      </c>
      <c r="QN4" s="737">
        <f t="shared" ca="1" si="6"/>
        <v>41827</v>
      </c>
      <c r="QO4" s="737" t="str">
        <f t="shared" ca="1" si="6"/>
        <v/>
      </c>
      <c r="QP4" s="737" t="str">
        <f t="shared" ca="1" si="6"/>
        <v/>
      </c>
      <c r="QQ4" s="737" t="str">
        <f t="shared" ca="1" si="6"/>
        <v/>
      </c>
      <c r="QR4" s="737" t="str">
        <f t="shared" ref="QR4:TC4" ca="1" si="7">IF(WEEKDAY(QR$6)=2,QR6,"")</f>
        <v/>
      </c>
      <c r="QS4" s="737" t="str">
        <f t="shared" ca="1" si="7"/>
        <v/>
      </c>
      <c r="QT4" s="737" t="str">
        <f t="shared" ca="1" si="7"/>
        <v/>
      </c>
      <c r="QU4" s="737">
        <f t="shared" ca="1" si="7"/>
        <v>41834</v>
      </c>
      <c r="QV4" s="737" t="str">
        <f t="shared" ca="1" si="7"/>
        <v/>
      </c>
      <c r="QW4" s="737" t="str">
        <f t="shared" ca="1" si="7"/>
        <v/>
      </c>
      <c r="QX4" s="737" t="str">
        <f t="shared" ca="1" si="7"/>
        <v/>
      </c>
      <c r="QY4" s="737" t="str">
        <f t="shared" ca="1" si="7"/>
        <v/>
      </c>
      <c r="QZ4" s="737" t="str">
        <f t="shared" ca="1" si="7"/>
        <v/>
      </c>
      <c r="RA4" s="737" t="str">
        <f t="shared" ca="1" si="7"/>
        <v/>
      </c>
      <c r="RB4" s="737">
        <f t="shared" ca="1" si="7"/>
        <v>41841</v>
      </c>
      <c r="RC4" s="737" t="str">
        <f t="shared" ca="1" si="7"/>
        <v/>
      </c>
      <c r="RD4" s="737" t="str">
        <f t="shared" ca="1" si="7"/>
        <v/>
      </c>
      <c r="RE4" s="737" t="str">
        <f t="shared" ca="1" si="7"/>
        <v/>
      </c>
      <c r="RF4" s="737" t="str">
        <f t="shared" ca="1" si="7"/>
        <v/>
      </c>
      <c r="RG4" s="737" t="str">
        <f t="shared" ca="1" si="7"/>
        <v/>
      </c>
      <c r="RH4" s="737" t="str">
        <f t="shared" ca="1" si="7"/>
        <v/>
      </c>
      <c r="RI4" s="737">
        <f t="shared" ca="1" si="7"/>
        <v>41848</v>
      </c>
      <c r="RJ4" s="737" t="str">
        <f t="shared" ca="1" si="7"/>
        <v/>
      </c>
      <c r="RK4" s="737" t="str">
        <f t="shared" ca="1" si="7"/>
        <v/>
      </c>
      <c r="RL4" s="737" t="str">
        <f t="shared" ca="1" si="7"/>
        <v/>
      </c>
      <c r="RM4" s="737" t="str">
        <f t="shared" ca="1" si="7"/>
        <v/>
      </c>
      <c r="RN4" s="737" t="str">
        <f t="shared" ca="1" si="7"/>
        <v/>
      </c>
      <c r="RO4" s="737" t="str">
        <f t="shared" ca="1" si="7"/>
        <v/>
      </c>
      <c r="RP4" s="737">
        <f t="shared" ca="1" si="7"/>
        <v>41855</v>
      </c>
      <c r="RQ4" s="737" t="str">
        <f t="shared" ca="1" si="7"/>
        <v/>
      </c>
      <c r="RR4" s="737" t="str">
        <f t="shared" ca="1" si="7"/>
        <v/>
      </c>
      <c r="RS4" s="737" t="str">
        <f t="shared" ca="1" si="7"/>
        <v/>
      </c>
      <c r="RT4" s="737" t="str">
        <f t="shared" ca="1" si="7"/>
        <v/>
      </c>
      <c r="RU4" s="737" t="str">
        <f t="shared" ca="1" si="7"/>
        <v/>
      </c>
      <c r="RV4" s="737" t="str">
        <f t="shared" ca="1" si="7"/>
        <v/>
      </c>
      <c r="RW4" s="737">
        <f t="shared" ca="1" si="7"/>
        <v>41862</v>
      </c>
      <c r="RX4" s="737" t="str">
        <f t="shared" ca="1" si="7"/>
        <v/>
      </c>
      <c r="RY4" s="737" t="str">
        <f t="shared" ca="1" si="7"/>
        <v/>
      </c>
      <c r="RZ4" s="737" t="str">
        <f t="shared" ca="1" si="7"/>
        <v/>
      </c>
      <c r="SA4" s="737" t="str">
        <f t="shared" ca="1" si="7"/>
        <v/>
      </c>
      <c r="SB4" s="737" t="str">
        <f t="shared" ca="1" si="7"/>
        <v/>
      </c>
      <c r="SC4" s="737" t="str">
        <f t="shared" ca="1" si="7"/>
        <v/>
      </c>
      <c r="SD4" s="737">
        <f t="shared" ca="1" si="7"/>
        <v>41869</v>
      </c>
      <c r="SE4" s="737" t="str">
        <f t="shared" ca="1" si="7"/>
        <v/>
      </c>
      <c r="SF4" s="737" t="str">
        <f t="shared" ca="1" si="7"/>
        <v/>
      </c>
      <c r="SG4" s="737" t="str">
        <f t="shared" ca="1" si="7"/>
        <v/>
      </c>
      <c r="SH4" s="737" t="str">
        <f t="shared" ca="1" si="7"/>
        <v/>
      </c>
      <c r="SI4" s="737" t="str">
        <f t="shared" ca="1" si="7"/>
        <v/>
      </c>
      <c r="SJ4" s="737" t="str">
        <f t="shared" ca="1" si="7"/>
        <v/>
      </c>
      <c r="SK4" s="737">
        <f t="shared" ca="1" si="7"/>
        <v>41876</v>
      </c>
      <c r="SL4" s="737" t="str">
        <f t="shared" ca="1" si="7"/>
        <v/>
      </c>
      <c r="SM4" s="737" t="str">
        <f t="shared" ca="1" si="7"/>
        <v/>
      </c>
      <c r="SN4" s="737" t="str">
        <f t="shared" ca="1" si="7"/>
        <v/>
      </c>
      <c r="SO4" s="737" t="str">
        <f t="shared" ca="1" si="7"/>
        <v/>
      </c>
      <c r="SP4" s="737" t="str">
        <f t="shared" ca="1" si="7"/>
        <v/>
      </c>
      <c r="SQ4" s="737" t="str">
        <f t="shared" ca="1" si="7"/>
        <v/>
      </c>
      <c r="SR4" s="737">
        <f t="shared" ca="1" si="7"/>
        <v>41883</v>
      </c>
      <c r="SS4" s="737" t="str">
        <f t="shared" ca="1" si="7"/>
        <v/>
      </c>
      <c r="ST4" s="737" t="str">
        <f t="shared" ca="1" si="7"/>
        <v/>
      </c>
      <c r="SU4" s="737" t="str">
        <f t="shared" ca="1" si="7"/>
        <v/>
      </c>
      <c r="SV4" s="737" t="str">
        <f t="shared" ca="1" si="7"/>
        <v/>
      </c>
      <c r="SW4" s="737" t="str">
        <f t="shared" ca="1" si="7"/>
        <v/>
      </c>
      <c r="SX4" s="737" t="str">
        <f t="shared" ca="1" si="7"/>
        <v/>
      </c>
      <c r="SY4" s="737">
        <f t="shared" ca="1" si="7"/>
        <v>41890</v>
      </c>
      <c r="SZ4" s="737" t="str">
        <f t="shared" ca="1" si="7"/>
        <v/>
      </c>
      <c r="TA4" s="737" t="str">
        <f t="shared" ca="1" si="7"/>
        <v/>
      </c>
      <c r="TB4" s="737" t="str">
        <f t="shared" ca="1" si="7"/>
        <v/>
      </c>
      <c r="TC4" s="737" t="str">
        <f t="shared" ca="1" si="7"/>
        <v/>
      </c>
      <c r="TD4" s="737" t="str">
        <f t="shared" ref="TD4:VO4" ca="1" si="8">IF(WEEKDAY(TD$6)=2,TD6,"")</f>
        <v/>
      </c>
      <c r="TE4" s="737" t="str">
        <f t="shared" ca="1" si="8"/>
        <v/>
      </c>
      <c r="TF4" s="737">
        <f t="shared" ca="1" si="8"/>
        <v>41897</v>
      </c>
      <c r="TG4" s="737" t="str">
        <f t="shared" ca="1" si="8"/>
        <v/>
      </c>
      <c r="TH4" s="737" t="str">
        <f t="shared" ca="1" si="8"/>
        <v/>
      </c>
      <c r="TI4" s="737" t="str">
        <f t="shared" ca="1" si="8"/>
        <v/>
      </c>
      <c r="TJ4" s="737" t="str">
        <f t="shared" ca="1" si="8"/>
        <v/>
      </c>
      <c r="TK4" s="737" t="str">
        <f t="shared" ca="1" si="8"/>
        <v/>
      </c>
      <c r="TL4" s="737" t="str">
        <f t="shared" ca="1" si="8"/>
        <v/>
      </c>
      <c r="TM4" s="737">
        <f t="shared" ca="1" si="8"/>
        <v>41904</v>
      </c>
      <c r="TN4" s="737" t="str">
        <f t="shared" ca="1" si="8"/>
        <v/>
      </c>
      <c r="TO4" s="737" t="str">
        <f t="shared" ca="1" si="8"/>
        <v/>
      </c>
      <c r="TP4" s="737" t="str">
        <f t="shared" ca="1" si="8"/>
        <v/>
      </c>
      <c r="TQ4" s="737" t="str">
        <f t="shared" ca="1" si="8"/>
        <v/>
      </c>
      <c r="TR4" s="737" t="str">
        <f t="shared" ca="1" si="8"/>
        <v/>
      </c>
      <c r="TS4" s="737" t="str">
        <f t="shared" ca="1" si="8"/>
        <v/>
      </c>
      <c r="TT4" s="737">
        <f t="shared" ca="1" si="8"/>
        <v>41911</v>
      </c>
      <c r="TU4" s="737" t="str">
        <f t="shared" ca="1" si="8"/>
        <v/>
      </c>
      <c r="TV4" s="737" t="str">
        <f t="shared" ca="1" si="8"/>
        <v/>
      </c>
      <c r="TW4" s="737" t="str">
        <f t="shared" ca="1" si="8"/>
        <v/>
      </c>
      <c r="TX4" s="737" t="str">
        <f t="shared" ca="1" si="8"/>
        <v/>
      </c>
      <c r="TY4" s="737" t="str">
        <f t="shared" ca="1" si="8"/>
        <v/>
      </c>
      <c r="TZ4" s="737" t="str">
        <f t="shared" ca="1" si="8"/>
        <v/>
      </c>
      <c r="UA4" s="737">
        <f t="shared" ca="1" si="8"/>
        <v>41918</v>
      </c>
      <c r="UB4" s="737" t="str">
        <f t="shared" ca="1" si="8"/>
        <v/>
      </c>
      <c r="UC4" s="737" t="str">
        <f t="shared" ca="1" si="8"/>
        <v/>
      </c>
      <c r="UD4" s="737" t="str">
        <f t="shared" ca="1" si="8"/>
        <v/>
      </c>
      <c r="UE4" s="737" t="str">
        <f t="shared" ca="1" si="8"/>
        <v/>
      </c>
      <c r="UF4" s="737" t="str">
        <f t="shared" ca="1" si="8"/>
        <v/>
      </c>
      <c r="UG4" s="737" t="str">
        <f t="shared" ca="1" si="8"/>
        <v/>
      </c>
      <c r="UH4" s="737">
        <f t="shared" ca="1" si="8"/>
        <v>41925</v>
      </c>
      <c r="UI4" s="737" t="str">
        <f t="shared" ca="1" si="8"/>
        <v/>
      </c>
      <c r="UJ4" s="737" t="str">
        <f t="shared" ca="1" si="8"/>
        <v/>
      </c>
      <c r="UK4" s="737" t="str">
        <f t="shared" ca="1" si="8"/>
        <v/>
      </c>
      <c r="UL4" s="737" t="str">
        <f t="shared" ca="1" si="8"/>
        <v/>
      </c>
      <c r="UM4" s="737" t="str">
        <f t="shared" ca="1" si="8"/>
        <v/>
      </c>
      <c r="UN4" s="737" t="str">
        <f t="shared" ca="1" si="8"/>
        <v/>
      </c>
      <c r="UO4" s="737">
        <f t="shared" ca="1" si="8"/>
        <v>41932</v>
      </c>
      <c r="UP4" s="737" t="str">
        <f t="shared" ca="1" si="8"/>
        <v/>
      </c>
      <c r="UQ4" s="737" t="str">
        <f t="shared" ca="1" si="8"/>
        <v/>
      </c>
      <c r="UR4" s="737" t="str">
        <f t="shared" ca="1" si="8"/>
        <v/>
      </c>
      <c r="US4" s="737" t="str">
        <f t="shared" ca="1" si="8"/>
        <v/>
      </c>
      <c r="UT4" s="737" t="str">
        <f t="shared" ca="1" si="8"/>
        <v/>
      </c>
      <c r="UU4" s="737" t="str">
        <f t="shared" ca="1" si="8"/>
        <v/>
      </c>
      <c r="UV4" s="737">
        <f t="shared" ca="1" si="8"/>
        <v>41939</v>
      </c>
      <c r="UW4" s="737" t="str">
        <f t="shared" ca="1" si="8"/>
        <v/>
      </c>
      <c r="UX4" s="737" t="str">
        <f t="shared" ca="1" si="8"/>
        <v/>
      </c>
      <c r="UY4" s="737" t="str">
        <f t="shared" ca="1" si="8"/>
        <v/>
      </c>
      <c r="UZ4" s="737" t="str">
        <f t="shared" ca="1" si="8"/>
        <v/>
      </c>
      <c r="VA4" s="737" t="str">
        <f t="shared" ca="1" si="8"/>
        <v/>
      </c>
      <c r="VB4" s="737" t="str">
        <f t="shared" ca="1" si="8"/>
        <v/>
      </c>
      <c r="VC4" s="737">
        <f t="shared" ca="1" si="8"/>
        <v>41946</v>
      </c>
      <c r="VD4" s="737" t="str">
        <f t="shared" ca="1" si="8"/>
        <v/>
      </c>
      <c r="VE4" s="737" t="str">
        <f t="shared" ca="1" si="8"/>
        <v/>
      </c>
      <c r="VF4" s="737" t="str">
        <f t="shared" ca="1" si="8"/>
        <v/>
      </c>
      <c r="VG4" s="737" t="str">
        <f t="shared" ca="1" si="8"/>
        <v/>
      </c>
      <c r="VH4" s="737" t="str">
        <f t="shared" ca="1" si="8"/>
        <v/>
      </c>
      <c r="VI4" s="737" t="str">
        <f t="shared" ca="1" si="8"/>
        <v/>
      </c>
      <c r="VJ4" s="737">
        <f t="shared" ca="1" si="8"/>
        <v>41953</v>
      </c>
      <c r="VK4" s="737" t="str">
        <f t="shared" ca="1" si="8"/>
        <v/>
      </c>
      <c r="VL4" s="737" t="str">
        <f t="shared" ca="1" si="8"/>
        <v/>
      </c>
      <c r="VM4" s="737" t="str">
        <f t="shared" ca="1" si="8"/>
        <v/>
      </c>
      <c r="VN4" s="737" t="str">
        <f t="shared" ca="1" si="8"/>
        <v/>
      </c>
      <c r="VO4" s="737" t="str">
        <f t="shared" ca="1" si="8"/>
        <v/>
      </c>
      <c r="VP4" s="737" t="str">
        <f t="shared" ref="VP4:YA4" ca="1" si="9">IF(WEEKDAY(VP$6)=2,VP6,"")</f>
        <v/>
      </c>
      <c r="VQ4" s="737">
        <f t="shared" ca="1" si="9"/>
        <v>41960</v>
      </c>
      <c r="VR4" s="737" t="str">
        <f t="shared" ca="1" si="9"/>
        <v/>
      </c>
      <c r="VS4" s="737" t="str">
        <f t="shared" ca="1" si="9"/>
        <v/>
      </c>
      <c r="VT4" s="737" t="str">
        <f t="shared" ca="1" si="9"/>
        <v/>
      </c>
      <c r="VU4" s="737" t="str">
        <f t="shared" ca="1" si="9"/>
        <v/>
      </c>
      <c r="VV4" s="737" t="str">
        <f t="shared" ca="1" si="9"/>
        <v/>
      </c>
      <c r="VW4" s="737" t="str">
        <f t="shared" ca="1" si="9"/>
        <v/>
      </c>
      <c r="VX4" s="737">
        <f t="shared" ca="1" si="9"/>
        <v>41967</v>
      </c>
      <c r="VY4" s="737" t="str">
        <f t="shared" ca="1" si="9"/>
        <v/>
      </c>
      <c r="VZ4" s="737" t="str">
        <f t="shared" ca="1" si="9"/>
        <v/>
      </c>
      <c r="WA4" s="737" t="str">
        <f t="shared" ca="1" si="9"/>
        <v/>
      </c>
      <c r="WB4" s="737" t="str">
        <f t="shared" ca="1" si="9"/>
        <v/>
      </c>
      <c r="WC4" s="737" t="str">
        <f t="shared" ca="1" si="9"/>
        <v/>
      </c>
      <c r="WD4" s="737" t="str">
        <f t="shared" ca="1" si="9"/>
        <v/>
      </c>
      <c r="WE4" s="737">
        <f t="shared" ca="1" si="9"/>
        <v>41974</v>
      </c>
      <c r="WF4" s="737" t="str">
        <f t="shared" ca="1" si="9"/>
        <v/>
      </c>
      <c r="WG4" s="737" t="str">
        <f t="shared" ca="1" si="9"/>
        <v/>
      </c>
      <c r="WH4" s="737" t="str">
        <f t="shared" ca="1" si="9"/>
        <v/>
      </c>
      <c r="WI4" s="737" t="str">
        <f t="shared" ca="1" si="9"/>
        <v/>
      </c>
      <c r="WJ4" s="737" t="str">
        <f t="shared" ca="1" si="9"/>
        <v/>
      </c>
      <c r="WK4" s="737" t="str">
        <f t="shared" ca="1" si="9"/>
        <v/>
      </c>
      <c r="WL4" s="737">
        <f t="shared" ca="1" si="9"/>
        <v>41981</v>
      </c>
      <c r="WM4" s="737" t="str">
        <f t="shared" ca="1" si="9"/>
        <v/>
      </c>
      <c r="WN4" s="737" t="str">
        <f t="shared" ca="1" si="9"/>
        <v/>
      </c>
      <c r="WO4" s="737" t="str">
        <f t="shared" ca="1" si="9"/>
        <v/>
      </c>
      <c r="WP4" s="737" t="str">
        <f t="shared" ca="1" si="9"/>
        <v/>
      </c>
      <c r="WQ4" s="737" t="str">
        <f t="shared" ca="1" si="9"/>
        <v/>
      </c>
      <c r="WR4" s="737" t="str">
        <f t="shared" ca="1" si="9"/>
        <v/>
      </c>
      <c r="WS4" s="737">
        <f t="shared" ca="1" si="9"/>
        <v>41988</v>
      </c>
      <c r="WT4" s="737" t="str">
        <f t="shared" ca="1" si="9"/>
        <v/>
      </c>
      <c r="WU4" s="737" t="str">
        <f t="shared" ca="1" si="9"/>
        <v/>
      </c>
      <c r="WV4" s="737" t="str">
        <f t="shared" ca="1" si="9"/>
        <v/>
      </c>
      <c r="WW4" s="737" t="str">
        <f t="shared" ca="1" si="9"/>
        <v/>
      </c>
      <c r="WX4" s="737" t="str">
        <f t="shared" ca="1" si="9"/>
        <v/>
      </c>
      <c r="WY4" s="737" t="str">
        <f t="shared" ca="1" si="9"/>
        <v/>
      </c>
      <c r="WZ4" s="737">
        <f t="shared" ca="1" si="9"/>
        <v>41995</v>
      </c>
      <c r="XA4" s="737" t="str">
        <f t="shared" ca="1" si="9"/>
        <v/>
      </c>
      <c r="XB4" s="737" t="str">
        <f t="shared" ca="1" si="9"/>
        <v/>
      </c>
      <c r="XC4" s="737" t="str">
        <f t="shared" ca="1" si="9"/>
        <v/>
      </c>
      <c r="XD4" s="737" t="str">
        <f t="shared" ca="1" si="9"/>
        <v/>
      </c>
      <c r="XE4" s="737" t="str">
        <f t="shared" ca="1" si="9"/>
        <v/>
      </c>
      <c r="XF4" s="737" t="str">
        <f t="shared" ca="1" si="9"/>
        <v/>
      </c>
      <c r="XG4" s="737">
        <f t="shared" ca="1" si="9"/>
        <v>42002</v>
      </c>
      <c r="XH4" s="737" t="str">
        <f t="shared" ca="1" si="9"/>
        <v/>
      </c>
      <c r="XI4" s="737" t="str">
        <f t="shared" ca="1" si="9"/>
        <v/>
      </c>
      <c r="XJ4" s="737" t="str">
        <f t="shared" ca="1" si="9"/>
        <v/>
      </c>
      <c r="XK4" s="737" t="str">
        <f t="shared" ca="1" si="9"/>
        <v/>
      </c>
      <c r="XL4" s="737" t="str">
        <f t="shared" ca="1" si="9"/>
        <v/>
      </c>
      <c r="XM4" s="737" t="str">
        <f t="shared" ca="1" si="9"/>
        <v/>
      </c>
      <c r="XN4" s="737">
        <f t="shared" ca="1" si="9"/>
        <v>42009</v>
      </c>
      <c r="XO4" s="737" t="str">
        <f t="shared" ca="1" si="9"/>
        <v/>
      </c>
      <c r="XP4" s="737" t="str">
        <f t="shared" ca="1" si="9"/>
        <v/>
      </c>
      <c r="XQ4" s="737" t="str">
        <f t="shared" ca="1" si="9"/>
        <v/>
      </c>
      <c r="XR4" s="737" t="str">
        <f t="shared" ca="1" si="9"/>
        <v/>
      </c>
      <c r="XS4" s="737" t="str">
        <f t="shared" ca="1" si="9"/>
        <v/>
      </c>
      <c r="XT4" s="737" t="str">
        <f t="shared" ca="1" si="9"/>
        <v/>
      </c>
      <c r="XU4" s="737">
        <f t="shared" ca="1" si="9"/>
        <v>42016</v>
      </c>
      <c r="XV4" s="737" t="str">
        <f t="shared" ca="1" si="9"/>
        <v/>
      </c>
      <c r="XW4" s="737" t="str">
        <f t="shared" ca="1" si="9"/>
        <v/>
      </c>
      <c r="XX4" s="737" t="str">
        <f t="shared" ca="1" si="9"/>
        <v/>
      </c>
      <c r="XY4" s="737" t="str">
        <f t="shared" ca="1" si="9"/>
        <v/>
      </c>
      <c r="XZ4" s="737" t="str">
        <f t="shared" ca="1" si="9"/>
        <v/>
      </c>
      <c r="YA4" s="737" t="str">
        <f t="shared" ca="1" si="9"/>
        <v/>
      </c>
      <c r="YB4" s="737">
        <f t="shared" ref="YB4:ZZ4" ca="1" si="10">IF(WEEKDAY(YB$6)=2,YB6,"")</f>
        <v>42023</v>
      </c>
      <c r="YC4" s="737" t="str">
        <f t="shared" ca="1" si="10"/>
        <v/>
      </c>
      <c r="YD4" s="737" t="str">
        <f t="shared" ca="1" si="10"/>
        <v/>
      </c>
      <c r="YE4" s="737" t="str">
        <f t="shared" ca="1" si="10"/>
        <v/>
      </c>
      <c r="YF4" s="737" t="str">
        <f t="shared" ca="1" si="10"/>
        <v/>
      </c>
      <c r="YG4" s="737" t="str">
        <f t="shared" ca="1" si="10"/>
        <v/>
      </c>
      <c r="YH4" s="737" t="str">
        <f t="shared" ca="1" si="10"/>
        <v/>
      </c>
      <c r="YI4" s="737">
        <f t="shared" ca="1" si="10"/>
        <v>42030</v>
      </c>
      <c r="YJ4" s="737" t="str">
        <f t="shared" ca="1" si="10"/>
        <v/>
      </c>
      <c r="YK4" s="737" t="str">
        <f t="shared" ca="1" si="10"/>
        <v/>
      </c>
      <c r="YL4" s="737" t="str">
        <f t="shared" ca="1" si="10"/>
        <v/>
      </c>
      <c r="YM4" s="737" t="str">
        <f t="shared" ca="1" si="10"/>
        <v/>
      </c>
      <c r="YN4" s="737" t="str">
        <f t="shared" ca="1" si="10"/>
        <v/>
      </c>
      <c r="YO4" s="737" t="str">
        <f t="shared" ca="1" si="10"/>
        <v/>
      </c>
      <c r="YP4" s="737">
        <f t="shared" ca="1" si="10"/>
        <v>42037</v>
      </c>
      <c r="YQ4" s="737" t="str">
        <f t="shared" ca="1" si="10"/>
        <v/>
      </c>
      <c r="YR4" s="737" t="str">
        <f t="shared" ca="1" si="10"/>
        <v/>
      </c>
      <c r="YS4" s="737" t="str">
        <f t="shared" ca="1" si="10"/>
        <v/>
      </c>
      <c r="YT4" s="737" t="str">
        <f t="shared" ca="1" si="10"/>
        <v/>
      </c>
      <c r="YU4" s="737" t="str">
        <f t="shared" ca="1" si="10"/>
        <v/>
      </c>
      <c r="YV4" s="737" t="str">
        <f t="shared" ca="1" si="10"/>
        <v/>
      </c>
      <c r="YW4" s="737">
        <f t="shared" ca="1" si="10"/>
        <v>42044</v>
      </c>
      <c r="YX4" s="737" t="str">
        <f t="shared" ca="1" si="10"/>
        <v/>
      </c>
      <c r="YY4" s="737" t="str">
        <f t="shared" ca="1" si="10"/>
        <v/>
      </c>
      <c r="YZ4" s="737" t="str">
        <f t="shared" ca="1" si="10"/>
        <v/>
      </c>
      <c r="ZA4" s="737" t="str">
        <f t="shared" ca="1" si="10"/>
        <v/>
      </c>
      <c r="ZB4" s="737" t="str">
        <f t="shared" ca="1" si="10"/>
        <v/>
      </c>
      <c r="ZC4" s="737" t="str">
        <f t="shared" ca="1" si="10"/>
        <v/>
      </c>
      <c r="ZD4" s="737">
        <f t="shared" ca="1" si="10"/>
        <v>42051</v>
      </c>
      <c r="ZE4" s="737" t="str">
        <f t="shared" ca="1" si="10"/>
        <v/>
      </c>
      <c r="ZF4" s="737" t="str">
        <f t="shared" ca="1" si="10"/>
        <v/>
      </c>
      <c r="ZG4" s="737" t="str">
        <f t="shared" ca="1" si="10"/>
        <v/>
      </c>
      <c r="ZH4" s="737" t="str">
        <f t="shared" ca="1" si="10"/>
        <v/>
      </c>
      <c r="ZI4" s="737" t="str">
        <f t="shared" ca="1" si="10"/>
        <v/>
      </c>
      <c r="ZJ4" s="737" t="str">
        <f t="shared" ca="1" si="10"/>
        <v/>
      </c>
      <c r="ZK4" s="737">
        <f t="shared" ca="1" si="10"/>
        <v>42058</v>
      </c>
      <c r="ZL4" s="737" t="str">
        <f t="shared" ca="1" si="10"/>
        <v/>
      </c>
      <c r="ZM4" s="737" t="str">
        <f t="shared" ca="1" si="10"/>
        <v/>
      </c>
      <c r="ZN4" s="737" t="str">
        <f t="shared" ca="1" si="10"/>
        <v/>
      </c>
      <c r="ZO4" s="737" t="str">
        <f t="shared" ca="1" si="10"/>
        <v/>
      </c>
      <c r="ZP4" s="737" t="str">
        <f t="shared" ca="1" si="10"/>
        <v/>
      </c>
      <c r="ZQ4" s="737" t="str">
        <f t="shared" ca="1" si="10"/>
        <v/>
      </c>
      <c r="ZR4" s="737">
        <f t="shared" ca="1" si="10"/>
        <v>42065</v>
      </c>
      <c r="ZS4" s="737" t="str">
        <f t="shared" ca="1" si="10"/>
        <v/>
      </c>
      <c r="ZT4" s="737" t="str">
        <f t="shared" ca="1" si="10"/>
        <v/>
      </c>
      <c r="ZU4" s="737" t="str">
        <f t="shared" ca="1" si="10"/>
        <v/>
      </c>
      <c r="ZV4" s="737" t="str">
        <f t="shared" ca="1" si="10"/>
        <v/>
      </c>
      <c r="ZW4" s="737" t="str">
        <f t="shared" ca="1" si="10"/>
        <v/>
      </c>
      <c r="ZX4" s="737" t="str">
        <f t="shared" ca="1" si="10"/>
        <v/>
      </c>
      <c r="ZY4" s="737">
        <f t="shared" ca="1" si="10"/>
        <v>42072</v>
      </c>
      <c r="ZZ4" s="737" t="str">
        <f t="shared" ca="1" si="10"/>
        <v/>
      </c>
      <c r="AAA4" s="590"/>
      <c r="AAD4" s="113"/>
      <c r="AAE4" s="553" t="s">
        <v>29</v>
      </c>
      <c r="AAF4" s="585" t="s">
        <v>199</v>
      </c>
      <c r="AAG4" s="77"/>
      <c r="AAH4" s="78">
        <f>WORKDAY(S.RuleEffective+44,1,S.DDL_DEQClosed)</f>
        <v>41610</v>
      </c>
      <c r="AAI4" s="63"/>
      <c r="AAJ4" s="510" t="s">
        <v>274</v>
      </c>
      <c r="AAK4" s="510"/>
      <c r="AAL4" s="65"/>
      <c r="AAM4" s="113"/>
      <c r="AAN4"/>
      <c r="AAP4" s="23" t="s">
        <v>0</v>
      </c>
      <c r="AAT4" s="23"/>
      <c r="AAU4" s="44"/>
    </row>
    <row r="5" spans="1:745" s="23" customFormat="1" ht="29.25" customHeight="1">
      <c r="A5" s="560"/>
      <c r="B5" s="318"/>
      <c r="C5" s="695"/>
      <c r="D5" s="206"/>
      <c r="E5" s="542" t="s">
        <v>207</v>
      </c>
      <c r="F5" s="236" t="s">
        <v>317</v>
      </c>
      <c r="G5" s="222" t="s">
        <v>279</v>
      </c>
      <c r="H5" s="222" t="s">
        <v>91</v>
      </c>
      <c r="I5" s="600"/>
      <c r="J5" s="611">
        <f ca="1">J6</f>
        <v>41381</v>
      </c>
      <c r="K5" s="611" t="str">
        <f ca="1">IF(WEEKDAY(K$6)=2,K6,"")</f>
        <v/>
      </c>
      <c r="L5" s="611" t="str">
        <f t="shared" ref="L5:R5" ca="1" si="11">IF(WEEKDAY(L$6)=2,L6,"")</f>
        <v/>
      </c>
      <c r="M5" s="611" t="str">
        <f t="shared" ca="1" si="11"/>
        <v/>
      </c>
      <c r="N5" s="611" t="str">
        <f t="shared" ca="1" si="11"/>
        <v/>
      </c>
      <c r="O5" s="611">
        <f t="shared" ca="1" si="11"/>
        <v>41386</v>
      </c>
      <c r="P5" s="611" t="str">
        <f t="shared" ca="1" si="11"/>
        <v/>
      </c>
      <c r="Q5" s="611" t="str">
        <f t="shared" ca="1" si="11"/>
        <v/>
      </c>
      <c r="R5" s="611" t="str">
        <f t="shared" ca="1" si="11"/>
        <v/>
      </c>
      <c r="S5" s="611" t="str">
        <f t="shared" ref="S5" ca="1" si="12">IF(WEEKDAY(S$6)=2,S6,"")</f>
        <v/>
      </c>
      <c r="T5" s="611" t="str">
        <f t="shared" ref="T5" ca="1" si="13">IF(WEEKDAY(T$6)=2,T6,"")</f>
        <v/>
      </c>
      <c r="U5" s="611" t="str">
        <f t="shared" ref="U5" ca="1" si="14">IF(WEEKDAY(U$6)=2,U6,"")</f>
        <v/>
      </c>
      <c r="V5" s="611">
        <f t="shared" ref="V5" ca="1" si="15">IF(WEEKDAY(V$6)=2,V6,"")</f>
        <v>41393</v>
      </c>
      <c r="W5" s="611" t="str">
        <f t="shared" ref="W5" ca="1" si="16">IF(WEEKDAY(W$6)=2,W6,"")</f>
        <v/>
      </c>
      <c r="X5" s="611" t="str">
        <f t="shared" ref="X5:Y5" ca="1" si="17">IF(WEEKDAY(X$6)=2,X6,"")</f>
        <v/>
      </c>
      <c r="Y5" s="611" t="str">
        <f t="shared" ca="1" si="17"/>
        <v/>
      </c>
      <c r="Z5" s="611" t="str">
        <f t="shared" ref="Z5" ca="1" si="18">IF(WEEKDAY(Z$6)=2,Z6,"")</f>
        <v/>
      </c>
      <c r="AA5" s="611" t="str">
        <f t="shared" ref="AA5" ca="1" si="19">IF(WEEKDAY(AA$6)=2,AA6,"")</f>
        <v/>
      </c>
      <c r="AB5" s="611" t="str">
        <f t="shared" ref="AB5" ca="1" si="20">IF(WEEKDAY(AB$6)=2,AB6,"")</f>
        <v/>
      </c>
      <c r="AC5" s="611">
        <f t="shared" ref="AC5" ca="1" si="21">IF(WEEKDAY(AC$6)=2,AC6,"")</f>
        <v>41400</v>
      </c>
      <c r="AD5" s="611" t="str">
        <f t="shared" ref="AD5" ca="1" si="22">IF(WEEKDAY(AD$6)=2,AD6,"")</f>
        <v/>
      </c>
      <c r="AE5" s="611" t="str">
        <f t="shared" ref="AE5:AF5" ca="1" si="23">IF(WEEKDAY(AE$6)=2,AE6,"")</f>
        <v/>
      </c>
      <c r="AF5" s="611" t="str">
        <f t="shared" ca="1" si="23"/>
        <v/>
      </c>
      <c r="AG5" s="611" t="str">
        <f t="shared" ref="AG5" ca="1" si="24">IF(WEEKDAY(AG$6)=2,AG6,"")</f>
        <v/>
      </c>
      <c r="AH5" s="611" t="str">
        <f t="shared" ref="AH5" ca="1" si="25">IF(WEEKDAY(AH$6)=2,AH6,"")</f>
        <v/>
      </c>
      <c r="AI5" s="611" t="str">
        <f t="shared" ref="AI5" ca="1" si="26">IF(WEEKDAY(AI$6)=2,AI6,"")</f>
        <v/>
      </c>
      <c r="AJ5" s="611">
        <f t="shared" ref="AJ5" ca="1" si="27">IF(WEEKDAY(AJ$6)=2,AJ6,"")</f>
        <v>41407</v>
      </c>
      <c r="AK5" s="611" t="str">
        <f t="shared" ref="AK5" ca="1" si="28">IF(WEEKDAY(AK$6)=2,AK6,"")</f>
        <v/>
      </c>
      <c r="AL5" s="611" t="str">
        <f t="shared" ref="AL5" ca="1" si="29">IF(WEEKDAY(AL$6)=2,AL6,"")</f>
        <v/>
      </c>
      <c r="AM5" s="611" t="str">
        <f t="shared" ref="AM5" ca="1" si="30">IF(WEEKDAY(AM$6)=2,AM6,"")</f>
        <v/>
      </c>
      <c r="AN5" s="611" t="str">
        <f t="shared" ref="AN5" ca="1" si="31">IF(WEEKDAY(AN$6)=2,AN6,"")</f>
        <v/>
      </c>
      <c r="AO5" s="611" t="str">
        <f t="shared" ref="AO5" ca="1" si="32">IF(WEEKDAY(AO$6)=2,AO6,"")</f>
        <v/>
      </c>
      <c r="AP5" s="611" t="str">
        <f t="shared" ref="AP5" ca="1" si="33">IF(WEEKDAY(AP$6)=2,AP6,"")</f>
        <v/>
      </c>
      <c r="AQ5" s="611">
        <f t="shared" ref="AQ5" ca="1" si="34">IF(WEEKDAY(AQ$6)=2,AQ6,"")</f>
        <v>41414</v>
      </c>
      <c r="AR5" s="611" t="str">
        <f t="shared" ref="AR5" ca="1" si="35">IF(WEEKDAY(AR$6)=2,AR6,"")</f>
        <v/>
      </c>
      <c r="AS5" s="611" t="str">
        <f t="shared" ref="AS5" ca="1" si="36">IF(WEEKDAY(AS$6)=2,AS6,"")</f>
        <v/>
      </c>
      <c r="AT5" s="611" t="str">
        <f t="shared" ref="AT5" ca="1" si="37">IF(WEEKDAY(AT$6)=2,AT6,"")</f>
        <v/>
      </c>
      <c r="AU5" s="611" t="str">
        <f t="shared" ref="AU5" ca="1" si="38">IF(WEEKDAY(AU$6)=2,AU6,"")</f>
        <v/>
      </c>
      <c r="AV5" s="611" t="str">
        <f t="shared" ref="AV5" ca="1" si="39">IF(WEEKDAY(AV$6)=2,AV6,"")</f>
        <v/>
      </c>
      <c r="AW5" s="611" t="str">
        <f t="shared" ref="AW5" ca="1" si="40">IF(WEEKDAY(AW$6)=2,AW6,"")</f>
        <v/>
      </c>
      <c r="AX5" s="611">
        <f t="shared" ref="AX5" ca="1" si="41">IF(WEEKDAY(AX$6)=2,AX6,"")</f>
        <v>41421</v>
      </c>
      <c r="AY5" s="611" t="str">
        <f t="shared" ref="AY5" ca="1" si="42">IF(WEEKDAY(AY$6)=2,AY6,"")</f>
        <v/>
      </c>
      <c r="AZ5" s="611" t="str">
        <f t="shared" ref="AZ5" ca="1" si="43">IF(WEEKDAY(AZ$6)=2,AZ6,"")</f>
        <v/>
      </c>
      <c r="BA5" s="611" t="str">
        <f t="shared" ref="BA5" ca="1" si="44">IF(WEEKDAY(BA$6)=2,BA6,"")</f>
        <v/>
      </c>
      <c r="BB5" s="611" t="str">
        <f t="shared" ref="BB5" ca="1" si="45">IF(WEEKDAY(BB$6)=2,BB6,"")</f>
        <v/>
      </c>
      <c r="BC5" s="611" t="str">
        <f t="shared" ref="BC5" ca="1" si="46">IF(WEEKDAY(BC$6)=2,BC6,"")</f>
        <v/>
      </c>
      <c r="BD5" s="611" t="str">
        <f t="shared" ref="BD5" ca="1" si="47">IF(WEEKDAY(BD$6)=2,BD6,"")</f>
        <v/>
      </c>
      <c r="BE5" s="611">
        <f t="shared" ref="BE5" ca="1" si="48">IF(WEEKDAY(BE$6)=2,BE6,"")</f>
        <v>41428</v>
      </c>
      <c r="BF5" s="611" t="str">
        <f t="shared" ref="BF5" ca="1" si="49">IF(WEEKDAY(BF$6)=2,BF6,"")</f>
        <v/>
      </c>
      <c r="BG5" s="611" t="str">
        <f t="shared" ref="BG5" ca="1" si="50">IF(WEEKDAY(BG$6)=2,BG6,"")</f>
        <v/>
      </c>
      <c r="BH5" s="611" t="str">
        <f t="shared" ref="BH5" ca="1" si="51">IF(WEEKDAY(BH$6)=2,BH6,"")</f>
        <v/>
      </c>
      <c r="BI5" s="611" t="str">
        <f t="shared" ref="BI5" ca="1" si="52">IF(WEEKDAY(BI$6)=2,BI6,"")</f>
        <v/>
      </c>
      <c r="BJ5" s="611" t="str">
        <f t="shared" ref="BJ5" ca="1" si="53">IF(WEEKDAY(BJ$6)=2,BJ6,"")</f>
        <v/>
      </c>
      <c r="BK5" s="611" t="str">
        <f t="shared" ref="BK5" ca="1" si="54">IF(WEEKDAY(BK$6)=2,BK6,"")</f>
        <v/>
      </c>
      <c r="BL5" s="611">
        <f t="shared" ref="BL5" ca="1" si="55">IF(WEEKDAY(BL$6)=2,BL6,"")</f>
        <v>41435</v>
      </c>
      <c r="BM5" s="611" t="str">
        <f t="shared" ref="BM5" ca="1" si="56">IF(WEEKDAY(BM$6)=2,BM6,"")</f>
        <v/>
      </c>
      <c r="BN5" s="611" t="str">
        <f t="shared" ref="BN5" ca="1" si="57">IF(WEEKDAY(BN$6)=2,BN6,"")</f>
        <v/>
      </c>
      <c r="BO5" s="611" t="str">
        <f t="shared" ref="BO5" ca="1" si="58">IF(WEEKDAY(BO$6)=2,BO6,"")</f>
        <v/>
      </c>
      <c r="BP5" s="611" t="str">
        <f t="shared" ref="BP5" ca="1" si="59">IF(WEEKDAY(BP$6)=2,BP6,"")</f>
        <v/>
      </c>
      <c r="BQ5" s="611" t="str">
        <f t="shared" ref="BQ5" ca="1" si="60">IF(WEEKDAY(BQ$6)=2,BQ6,"")</f>
        <v/>
      </c>
      <c r="BR5" s="611" t="str">
        <f t="shared" ref="BR5" ca="1" si="61">IF(WEEKDAY(BR$6)=2,BR6,"")</f>
        <v/>
      </c>
      <c r="BS5" s="611">
        <f t="shared" ref="BS5" ca="1" si="62">IF(WEEKDAY(BS$6)=2,BS6,"")</f>
        <v>41442</v>
      </c>
      <c r="BT5" s="611" t="str">
        <f t="shared" ref="BT5" ca="1" si="63">IF(WEEKDAY(BT$6)=2,BT6,"")</f>
        <v/>
      </c>
      <c r="BU5" s="611" t="str">
        <f t="shared" ref="BU5" ca="1" si="64">IF(WEEKDAY(BU$6)=2,BU6,"")</f>
        <v/>
      </c>
      <c r="BV5" s="611" t="str">
        <f t="shared" ref="BV5" ca="1" si="65">IF(WEEKDAY(BV$6)=2,BV6,"")</f>
        <v/>
      </c>
      <c r="BW5" s="611" t="str">
        <f t="shared" ref="BW5" ca="1" si="66">IF(WEEKDAY(BW$6)=2,BW6,"")</f>
        <v/>
      </c>
      <c r="BX5" s="611" t="str">
        <f t="shared" ref="BX5" ca="1" si="67">IF(WEEKDAY(BX$6)=2,BX6,"")</f>
        <v/>
      </c>
      <c r="BY5" s="611" t="str">
        <f t="shared" ref="BY5" ca="1" si="68">IF(WEEKDAY(BY$6)=2,BY6,"")</f>
        <v/>
      </c>
      <c r="BZ5" s="611">
        <f t="shared" ref="BZ5" ca="1" si="69">IF(WEEKDAY(BZ$6)=2,BZ6,"")</f>
        <v>41449</v>
      </c>
      <c r="CA5" s="611" t="str">
        <f t="shared" ref="CA5" ca="1" si="70">IF(WEEKDAY(CA$6)=2,CA6,"")</f>
        <v/>
      </c>
      <c r="CB5" s="611" t="str">
        <f t="shared" ref="CB5" ca="1" si="71">IF(WEEKDAY(CB$6)=2,CB6,"")</f>
        <v/>
      </c>
      <c r="CC5" s="611" t="str">
        <f t="shared" ref="CC5" ca="1" si="72">IF(WEEKDAY(CC$6)=2,CC6,"")</f>
        <v/>
      </c>
      <c r="CD5" s="611" t="str">
        <f t="shared" ref="CD5" ca="1" si="73">IF(WEEKDAY(CD$6)=2,CD6,"")</f>
        <v/>
      </c>
      <c r="CE5" s="611" t="str">
        <f t="shared" ref="CE5" ca="1" si="74">IF(WEEKDAY(CE$6)=2,CE6,"")</f>
        <v/>
      </c>
      <c r="CF5" s="611" t="str">
        <f t="shared" ref="CF5" ca="1" si="75">IF(WEEKDAY(CF$6)=2,CF6,"")</f>
        <v/>
      </c>
      <c r="CG5" s="611">
        <f t="shared" ref="CG5" ca="1" si="76">IF(WEEKDAY(CG$6)=2,CG6,"")</f>
        <v>41456</v>
      </c>
      <c r="CH5" s="611" t="str">
        <f t="shared" ref="CH5" ca="1" si="77">IF(WEEKDAY(CH$6)=2,CH6,"")</f>
        <v/>
      </c>
      <c r="CI5" s="611" t="str">
        <f t="shared" ref="CI5" ca="1" si="78">IF(WEEKDAY(CI$6)=2,CI6,"")</f>
        <v/>
      </c>
      <c r="CJ5" s="611" t="str">
        <f t="shared" ref="CJ5" ca="1" si="79">IF(WEEKDAY(CJ$6)=2,CJ6,"")</f>
        <v/>
      </c>
      <c r="CK5" s="611" t="str">
        <f t="shared" ref="CK5" ca="1" si="80">IF(WEEKDAY(CK$6)=2,CK6,"")</f>
        <v/>
      </c>
      <c r="CL5" s="611" t="str">
        <f t="shared" ref="CL5" ca="1" si="81">IF(WEEKDAY(CL$6)=2,CL6,"")</f>
        <v/>
      </c>
      <c r="CM5" s="611" t="str">
        <f t="shared" ref="CM5" ca="1" si="82">IF(WEEKDAY(CM$6)=2,CM6,"")</f>
        <v/>
      </c>
      <c r="CN5" s="611">
        <f t="shared" ref="CN5" ca="1" si="83">IF(WEEKDAY(CN$6)=2,CN6,"")</f>
        <v>41463</v>
      </c>
      <c r="CO5" s="611" t="str">
        <f t="shared" ref="CO5" ca="1" si="84">IF(WEEKDAY(CO$6)=2,CO6,"")</f>
        <v/>
      </c>
      <c r="CP5" s="611" t="str">
        <f t="shared" ref="CP5" ca="1" si="85">IF(WEEKDAY(CP$6)=2,CP6,"")</f>
        <v/>
      </c>
      <c r="CQ5" s="611" t="str">
        <f t="shared" ref="CQ5" ca="1" si="86">IF(WEEKDAY(CQ$6)=2,CQ6,"")</f>
        <v/>
      </c>
      <c r="CR5" s="611" t="str">
        <f t="shared" ref="CR5" ca="1" si="87">IF(WEEKDAY(CR$6)=2,CR6,"")</f>
        <v/>
      </c>
      <c r="CS5" s="611" t="str">
        <f t="shared" ref="CS5" ca="1" si="88">IF(WEEKDAY(CS$6)=2,CS6,"")</f>
        <v/>
      </c>
      <c r="CT5" s="611" t="str">
        <f t="shared" ref="CT5" ca="1" si="89">IF(WEEKDAY(CT$6)=2,CT6,"")</f>
        <v/>
      </c>
      <c r="CU5" s="611">
        <f t="shared" ref="CU5" ca="1" si="90">IF(WEEKDAY(CU$6)=2,CU6,"")</f>
        <v>41470</v>
      </c>
      <c r="CV5" s="611" t="str">
        <f t="shared" ref="CV5" ca="1" si="91">IF(WEEKDAY(CV$6)=2,CV6,"")</f>
        <v/>
      </c>
      <c r="CW5" s="611" t="str">
        <f t="shared" ref="CW5" ca="1" si="92">IF(WEEKDAY(CW$6)=2,CW6,"")</f>
        <v/>
      </c>
      <c r="CX5" s="611" t="str">
        <f t="shared" ref="CX5" ca="1" si="93">IF(WEEKDAY(CX$6)=2,CX6,"")</f>
        <v/>
      </c>
      <c r="CY5" s="611" t="str">
        <f t="shared" ref="CY5" ca="1" si="94">IF(WEEKDAY(CY$6)=2,CY6,"")</f>
        <v/>
      </c>
      <c r="CZ5" s="611" t="str">
        <f t="shared" ref="CZ5" ca="1" si="95">IF(WEEKDAY(CZ$6)=2,CZ6,"")</f>
        <v/>
      </c>
      <c r="DA5" s="611" t="str">
        <f t="shared" ref="DA5" ca="1" si="96">IF(WEEKDAY(DA$6)=2,DA6,"")</f>
        <v/>
      </c>
      <c r="DB5" s="611">
        <f t="shared" ref="DB5" ca="1" si="97">IF(WEEKDAY(DB$6)=2,DB6,"")</f>
        <v>41477</v>
      </c>
      <c r="DC5" s="611" t="str">
        <f t="shared" ref="DC5" ca="1" si="98">IF(WEEKDAY(DC$6)=2,DC6,"")</f>
        <v/>
      </c>
      <c r="DD5" s="611" t="str">
        <f t="shared" ref="DD5" ca="1" si="99">IF(WEEKDAY(DD$6)=2,DD6,"")</f>
        <v/>
      </c>
      <c r="DE5" s="611" t="str">
        <f t="shared" ref="DE5" ca="1" si="100">IF(WEEKDAY(DE$6)=2,DE6,"")</f>
        <v/>
      </c>
      <c r="DF5" s="611" t="str">
        <f t="shared" ref="DF5" ca="1" si="101">IF(WEEKDAY(DF$6)=2,DF6,"")</f>
        <v/>
      </c>
      <c r="DG5" s="611" t="str">
        <f t="shared" ref="DG5" ca="1" si="102">IF(WEEKDAY(DG$6)=2,DG6,"")</f>
        <v/>
      </c>
      <c r="DH5" s="611" t="str">
        <f t="shared" ref="DH5" ca="1" si="103">IF(WEEKDAY(DH$6)=2,DH6,"")</f>
        <v/>
      </c>
      <c r="DI5" s="611">
        <f t="shared" ref="DI5" ca="1" si="104">IF(WEEKDAY(DI$6)=2,DI6,"")</f>
        <v>41484</v>
      </c>
      <c r="DJ5" s="611" t="str">
        <f t="shared" ref="DJ5" ca="1" si="105">IF(WEEKDAY(DJ$6)=2,DJ6,"")</f>
        <v/>
      </c>
      <c r="DK5" s="611" t="str">
        <f t="shared" ref="DK5" ca="1" si="106">IF(WEEKDAY(DK$6)=2,DK6,"")</f>
        <v/>
      </c>
      <c r="DL5" s="611" t="str">
        <f t="shared" ref="DL5" ca="1" si="107">IF(WEEKDAY(DL$6)=2,DL6,"")</f>
        <v/>
      </c>
      <c r="DM5" s="611" t="str">
        <f t="shared" ref="DM5" ca="1" si="108">IF(WEEKDAY(DM$6)=2,DM6,"")</f>
        <v/>
      </c>
      <c r="DN5" s="611" t="str">
        <f t="shared" ref="DN5" ca="1" si="109">IF(WEEKDAY(DN$6)=2,DN6,"")</f>
        <v/>
      </c>
      <c r="DO5" s="611" t="str">
        <f t="shared" ref="DO5" ca="1" si="110">IF(WEEKDAY(DO$6)=2,DO6,"")</f>
        <v/>
      </c>
      <c r="DP5" s="611">
        <f t="shared" ref="DP5" ca="1" si="111">IF(WEEKDAY(DP$6)=2,DP6,"")</f>
        <v>41491</v>
      </c>
      <c r="DQ5" s="611" t="str">
        <f t="shared" ref="DQ5" ca="1" si="112">IF(WEEKDAY(DQ$6)=2,DQ6,"")</f>
        <v/>
      </c>
      <c r="DR5" s="611" t="str">
        <f t="shared" ref="DR5" ca="1" si="113">IF(WEEKDAY(DR$6)=2,DR6,"")</f>
        <v/>
      </c>
      <c r="DS5" s="611" t="str">
        <f t="shared" ref="DS5" ca="1" si="114">IF(WEEKDAY(DS$6)=2,DS6,"")</f>
        <v/>
      </c>
      <c r="DT5" s="611" t="str">
        <f t="shared" ref="DT5" ca="1" si="115">IF(WEEKDAY(DT$6)=2,DT6,"")</f>
        <v/>
      </c>
      <c r="DU5" s="611" t="str">
        <f t="shared" ref="DU5" ca="1" si="116">IF(WEEKDAY(DU$6)=2,DU6,"")</f>
        <v/>
      </c>
      <c r="DV5" s="611" t="str">
        <f t="shared" ref="DV5" ca="1" si="117">IF(WEEKDAY(DV$6)=2,DV6,"")</f>
        <v/>
      </c>
      <c r="DW5" s="611">
        <f t="shared" ref="DW5" ca="1" si="118">IF(WEEKDAY(DW$6)=2,DW6,"")</f>
        <v>41498</v>
      </c>
      <c r="DX5" s="611" t="str">
        <f t="shared" ref="DX5" ca="1" si="119">IF(WEEKDAY(DX$6)=2,DX6,"")</f>
        <v/>
      </c>
      <c r="DY5" s="611" t="str">
        <f t="shared" ref="DY5" ca="1" si="120">IF(WEEKDAY(DY$6)=2,DY6,"")</f>
        <v/>
      </c>
      <c r="DZ5" s="611" t="str">
        <f t="shared" ref="DZ5" ca="1" si="121">IF(WEEKDAY(DZ$6)=2,DZ6,"")</f>
        <v/>
      </c>
      <c r="EA5" s="611" t="str">
        <f t="shared" ref="EA5" ca="1" si="122">IF(WEEKDAY(EA$6)=2,EA6,"")</f>
        <v/>
      </c>
      <c r="EB5" s="611" t="str">
        <f t="shared" ref="EB5" ca="1" si="123">IF(WEEKDAY(EB$6)=2,EB6,"")</f>
        <v/>
      </c>
      <c r="EC5" s="611" t="str">
        <f t="shared" ref="EC5" ca="1" si="124">IF(WEEKDAY(EC$6)=2,EC6,"")</f>
        <v/>
      </c>
      <c r="ED5" s="611">
        <f t="shared" ref="ED5" ca="1" si="125">IF(WEEKDAY(ED$6)=2,ED6,"")</f>
        <v>41505</v>
      </c>
      <c r="EE5" s="611" t="str">
        <f t="shared" ref="EE5" ca="1" si="126">IF(WEEKDAY(EE$6)=2,EE6,"")</f>
        <v/>
      </c>
      <c r="EF5" s="611" t="str">
        <f t="shared" ref="EF5" ca="1" si="127">IF(WEEKDAY(EF$6)=2,EF6,"")</f>
        <v/>
      </c>
      <c r="EG5" s="611" t="str">
        <f t="shared" ref="EG5" ca="1" si="128">IF(WEEKDAY(EG$6)=2,EG6,"")</f>
        <v/>
      </c>
      <c r="EH5" s="611" t="str">
        <f t="shared" ref="EH5" ca="1" si="129">IF(WEEKDAY(EH$6)=2,EH6,"")</f>
        <v/>
      </c>
      <c r="EI5" s="611" t="str">
        <f t="shared" ref="EI5" ca="1" si="130">IF(WEEKDAY(EI$6)=2,EI6,"")</f>
        <v/>
      </c>
      <c r="EJ5" s="611" t="str">
        <f t="shared" ref="EJ5" ca="1" si="131">IF(WEEKDAY(EJ$6)=2,EJ6,"")</f>
        <v/>
      </c>
      <c r="EK5" s="611">
        <f t="shared" ref="EK5" ca="1" si="132">IF(WEEKDAY(EK$6)=2,EK6,"")</f>
        <v>41512</v>
      </c>
      <c r="EL5" s="611" t="str">
        <f t="shared" ref="EL5" ca="1" si="133">IF(WEEKDAY(EL$6)=2,EL6,"")</f>
        <v/>
      </c>
      <c r="EM5" s="611" t="str">
        <f t="shared" ref="EM5" ca="1" si="134">IF(WEEKDAY(EM$6)=2,EM6,"")</f>
        <v/>
      </c>
      <c r="EN5" s="611" t="str">
        <f t="shared" ref="EN5" ca="1" si="135">IF(WEEKDAY(EN$6)=2,EN6,"")</f>
        <v/>
      </c>
      <c r="EO5" s="611" t="str">
        <f t="shared" ref="EO5" ca="1" si="136">IF(WEEKDAY(EO$6)=2,EO6,"")</f>
        <v/>
      </c>
      <c r="EP5" s="611" t="str">
        <f t="shared" ref="EP5" ca="1" si="137">IF(WEEKDAY(EP$6)=2,EP6,"")</f>
        <v/>
      </c>
      <c r="EQ5" s="611" t="str">
        <f t="shared" ref="EQ5" ca="1" si="138">IF(WEEKDAY(EQ$6)=2,EQ6,"")</f>
        <v/>
      </c>
      <c r="ER5" s="611">
        <f t="shared" ref="ER5" ca="1" si="139">IF(WEEKDAY(ER$6)=2,ER6,"")</f>
        <v>41519</v>
      </c>
      <c r="ES5" s="611" t="str">
        <f t="shared" ref="ES5" ca="1" si="140">IF(WEEKDAY(ES$6)=2,ES6,"")</f>
        <v/>
      </c>
      <c r="ET5" s="611" t="str">
        <f t="shared" ref="ET5" ca="1" si="141">IF(WEEKDAY(ET$6)=2,ET6,"")</f>
        <v/>
      </c>
      <c r="EU5" s="611" t="str">
        <f t="shared" ref="EU5" ca="1" si="142">IF(WEEKDAY(EU$6)=2,EU6,"")</f>
        <v/>
      </c>
      <c r="EV5" s="611" t="str">
        <f t="shared" ref="EV5" ca="1" si="143">IF(WEEKDAY(EV$6)=2,EV6,"")</f>
        <v/>
      </c>
      <c r="EW5" s="611" t="str">
        <f t="shared" ref="EW5" ca="1" si="144">IF(WEEKDAY(EW$6)=2,EW6,"")</f>
        <v/>
      </c>
      <c r="EX5" s="611" t="str">
        <f t="shared" ref="EX5" ca="1" si="145">IF(WEEKDAY(EX$6)=2,EX6,"")</f>
        <v/>
      </c>
      <c r="EY5" s="611">
        <f t="shared" ref="EY5" ca="1" si="146">IF(WEEKDAY(EY$6)=2,EY6,"")</f>
        <v>41526</v>
      </c>
      <c r="EZ5" s="611" t="str">
        <f t="shared" ref="EZ5" ca="1" si="147">IF(WEEKDAY(EZ$6)=2,EZ6,"")</f>
        <v/>
      </c>
      <c r="FA5" s="611" t="str">
        <f t="shared" ref="FA5" ca="1" si="148">IF(WEEKDAY(FA$6)=2,FA6,"")</f>
        <v/>
      </c>
      <c r="FB5" s="611" t="str">
        <f t="shared" ref="FB5" ca="1" si="149">IF(WEEKDAY(FB$6)=2,FB6,"")</f>
        <v/>
      </c>
      <c r="FC5" s="611" t="str">
        <f t="shared" ref="FC5" ca="1" si="150">IF(WEEKDAY(FC$6)=2,FC6,"")</f>
        <v/>
      </c>
      <c r="FD5" s="611" t="str">
        <f t="shared" ref="FD5" ca="1" si="151">IF(WEEKDAY(FD$6)=2,FD6,"")</f>
        <v/>
      </c>
      <c r="FE5" s="611" t="str">
        <f t="shared" ref="FE5" ca="1" si="152">IF(WEEKDAY(FE$6)=2,FE6,"")</f>
        <v/>
      </c>
      <c r="FF5" s="611">
        <f t="shared" ref="FF5" ca="1" si="153">IF(WEEKDAY(FF$6)=2,FF6,"")</f>
        <v>41533</v>
      </c>
      <c r="FG5" s="611" t="str">
        <f t="shared" ref="FG5" ca="1" si="154">IF(WEEKDAY(FG$6)=2,FG6,"")</f>
        <v/>
      </c>
      <c r="FH5" s="611" t="str">
        <f t="shared" ref="FH5" ca="1" si="155">IF(WEEKDAY(FH$6)=2,FH6,"")</f>
        <v/>
      </c>
      <c r="FI5" s="611" t="str">
        <f t="shared" ref="FI5" ca="1" si="156">IF(WEEKDAY(FI$6)=2,FI6,"")</f>
        <v/>
      </c>
      <c r="FJ5" s="611" t="str">
        <f t="shared" ref="FJ5" ca="1" si="157">IF(WEEKDAY(FJ$6)=2,FJ6,"")</f>
        <v/>
      </c>
      <c r="FK5" s="611" t="str">
        <f t="shared" ref="FK5" ca="1" si="158">IF(WEEKDAY(FK$6)=2,FK6,"")</f>
        <v/>
      </c>
      <c r="FL5" s="611" t="str">
        <f t="shared" ref="FL5" ca="1" si="159">IF(WEEKDAY(FL$6)=2,FL6,"")</f>
        <v/>
      </c>
      <c r="FM5" s="611">
        <f t="shared" ref="FM5" ca="1" si="160">IF(WEEKDAY(FM$6)=2,FM6,"")</f>
        <v>41540</v>
      </c>
      <c r="FN5" s="611" t="str">
        <f t="shared" ref="FN5" ca="1" si="161">IF(WEEKDAY(FN$6)=2,FN6,"")</f>
        <v/>
      </c>
      <c r="FO5" s="611" t="str">
        <f t="shared" ref="FO5" ca="1" si="162">IF(WEEKDAY(FO$6)=2,FO6,"")</f>
        <v/>
      </c>
      <c r="FP5" s="611" t="str">
        <f t="shared" ref="FP5" ca="1" si="163">IF(WEEKDAY(FP$6)=2,FP6,"")</f>
        <v/>
      </c>
      <c r="FQ5" s="611" t="str">
        <f t="shared" ref="FQ5" ca="1" si="164">IF(WEEKDAY(FQ$6)=2,FQ6,"")</f>
        <v/>
      </c>
      <c r="FR5" s="611" t="str">
        <f t="shared" ref="FR5" ca="1" si="165">IF(WEEKDAY(FR$6)=2,FR6,"")</f>
        <v/>
      </c>
      <c r="FS5" s="611" t="str">
        <f t="shared" ref="FS5" ca="1" si="166">IF(WEEKDAY(FS$6)=2,FS6,"")</f>
        <v/>
      </c>
      <c r="FT5" s="611">
        <f t="shared" ref="FT5" ca="1" si="167">IF(WEEKDAY(FT$6)=2,FT6,"")</f>
        <v>41547</v>
      </c>
      <c r="FU5" s="611" t="str">
        <f t="shared" ref="FU5" ca="1" si="168">IF(WEEKDAY(FU$6)=2,FU6,"")</f>
        <v/>
      </c>
      <c r="FV5" s="611" t="str">
        <f t="shared" ref="FV5" ca="1" si="169">IF(WEEKDAY(FV$6)=2,FV6,"")</f>
        <v/>
      </c>
      <c r="FW5" s="611" t="str">
        <f t="shared" ref="FW5" ca="1" si="170">IF(WEEKDAY(FW$6)=2,FW6,"")</f>
        <v/>
      </c>
      <c r="FX5" s="611" t="str">
        <f t="shared" ref="FX5" ca="1" si="171">IF(WEEKDAY(FX$6)=2,FX6,"")</f>
        <v/>
      </c>
      <c r="FY5" s="611" t="str">
        <f t="shared" ref="FY5" ca="1" si="172">IF(WEEKDAY(FY$6)=2,FY6,"")</f>
        <v/>
      </c>
      <c r="FZ5" s="611" t="str">
        <f t="shared" ref="FZ5" ca="1" si="173">IF(WEEKDAY(FZ$6)=2,FZ6,"")</f>
        <v/>
      </c>
      <c r="GA5" s="611">
        <f t="shared" ref="GA5" ca="1" si="174">IF(WEEKDAY(GA$6)=2,GA6,"")</f>
        <v>41554</v>
      </c>
      <c r="GB5" s="611" t="str">
        <f t="shared" ref="GB5" ca="1" si="175">IF(WEEKDAY(GB$6)=2,GB6,"")</f>
        <v/>
      </c>
      <c r="GC5" s="611" t="str">
        <f t="shared" ref="GC5" ca="1" si="176">IF(WEEKDAY(GC$6)=2,GC6,"")</f>
        <v/>
      </c>
      <c r="GD5" s="611" t="str">
        <f t="shared" ref="GD5" ca="1" si="177">IF(WEEKDAY(GD$6)=2,GD6,"")</f>
        <v/>
      </c>
      <c r="GE5" s="611" t="str">
        <f t="shared" ref="GE5" ca="1" si="178">IF(WEEKDAY(GE$6)=2,GE6,"")</f>
        <v/>
      </c>
      <c r="GF5" s="611" t="str">
        <f t="shared" ref="GF5" ca="1" si="179">IF(WEEKDAY(GF$6)=2,GF6,"")</f>
        <v/>
      </c>
      <c r="GG5" s="611" t="str">
        <f t="shared" ref="GG5" ca="1" si="180">IF(WEEKDAY(GG$6)=2,GG6,"")</f>
        <v/>
      </c>
      <c r="GH5" s="611">
        <f t="shared" ref="GH5" ca="1" si="181">IF(WEEKDAY(GH$6)=2,GH6,"")</f>
        <v>41561</v>
      </c>
      <c r="GI5" s="611" t="str">
        <f t="shared" ref="GI5" ca="1" si="182">IF(WEEKDAY(GI$6)=2,GI6,"")</f>
        <v/>
      </c>
      <c r="GJ5" s="611" t="str">
        <f t="shared" ref="GJ5" ca="1" si="183">IF(WEEKDAY(GJ$6)=2,GJ6,"")</f>
        <v/>
      </c>
      <c r="GK5" s="611" t="str">
        <f t="shared" ref="GK5" ca="1" si="184">IF(WEEKDAY(GK$6)=2,GK6,"")</f>
        <v/>
      </c>
      <c r="GL5" s="611" t="str">
        <f t="shared" ref="GL5" ca="1" si="185">IF(WEEKDAY(GL$6)=2,GL6,"")</f>
        <v/>
      </c>
      <c r="GM5" s="611" t="str">
        <f t="shared" ref="GM5" ca="1" si="186">IF(WEEKDAY(GM$6)=2,GM6,"")</f>
        <v/>
      </c>
      <c r="GN5" s="611" t="str">
        <f t="shared" ref="GN5" ca="1" si="187">IF(WEEKDAY(GN$6)=2,GN6,"")</f>
        <v/>
      </c>
      <c r="GO5" s="611">
        <f t="shared" ref="GO5" ca="1" si="188">IF(WEEKDAY(GO$6)=2,GO6,"")</f>
        <v>41568</v>
      </c>
      <c r="GP5" s="611" t="str">
        <f t="shared" ref="GP5" ca="1" si="189">IF(WEEKDAY(GP$6)=2,GP6,"")</f>
        <v/>
      </c>
      <c r="GQ5" s="611" t="str">
        <f t="shared" ref="GQ5" ca="1" si="190">IF(WEEKDAY(GQ$6)=2,GQ6,"")</f>
        <v/>
      </c>
      <c r="GR5" s="611" t="str">
        <f t="shared" ref="GR5" ca="1" si="191">IF(WEEKDAY(GR$6)=2,GR6,"")</f>
        <v/>
      </c>
      <c r="GS5" s="611" t="str">
        <f t="shared" ref="GS5" ca="1" si="192">IF(WEEKDAY(GS$6)=2,GS6,"")</f>
        <v/>
      </c>
      <c r="GT5" s="611" t="str">
        <f t="shared" ref="GT5" ca="1" si="193">IF(WEEKDAY(GT$6)=2,GT6,"")</f>
        <v/>
      </c>
      <c r="GU5" s="611" t="str">
        <f t="shared" ref="GU5" ca="1" si="194">IF(WEEKDAY(GU$6)=2,GU6,"")</f>
        <v/>
      </c>
      <c r="GV5" s="611">
        <f t="shared" ref="GV5" ca="1" si="195">IF(WEEKDAY(GV$6)=2,GV6,"")</f>
        <v>41575</v>
      </c>
      <c r="GW5" s="611" t="str">
        <f t="shared" ref="GW5" ca="1" si="196">IF(WEEKDAY(GW$6)=2,GW6,"")</f>
        <v/>
      </c>
      <c r="GX5" s="611" t="str">
        <f t="shared" ref="GX5" ca="1" si="197">IF(WEEKDAY(GX$6)=2,GX6,"")</f>
        <v/>
      </c>
      <c r="GY5" s="611" t="str">
        <f t="shared" ref="GY5" ca="1" si="198">IF(WEEKDAY(GY$6)=2,GY6,"")</f>
        <v/>
      </c>
      <c r="GZ5" s="611" t="str">
        <f t="shared" ref="GZ5" ca="1" si="199">IF(WEEKDAY(GZ$6)=2,GZ6,"")</f>
        <v/>
      </c>
      <c r="HA5" s="611" t="str">
        <f t="shared" ref="HA5" ca="1" si="200">IF(WEEKDAY(HA$6)=2,HA6,"")</f>
        <v/>
      </c>
      <c r="HB5" s="611" t="str">
        <f t="shared" ref="HB5" ca="1" si="201">IF(WEEKDAY(HB$6)=2,HB6,"")</f>
        <v/>
      </c>
      <c r="HC5" s="611">
        <f t="shared" ref="HC5" ca="1" si="202">IF(WEEKDAY(HC$6)=2,HC6,"")</f>
        <v>41582</v>
      </c>
      <c r="HD5" s="611" t="str">
        <f t="shared" ref="HD5" ca="1" si="203">IF(WEEKDAY(HD$6)=2,HD6,"")</f>
        <v/>
      </c>
      <c r="HE5" s="611" t="str">
        <f t="shared" ref="HE5" ca="1" si="204">IF(WEEKDAY(HE$6)=2,HE6,"")</f>
        <v/>
      </c>
      <c r="HF5" s="611" t="str">
        <f t="shared" ref="HF5" ca="1" si="205">IF(WEEKDAY(HF$6)=2,HF6,"")</f>
        <v/>
      </c>
      <c r="HG5" s="611" t="str">
        <f t="shared" ref="HG5" ca="1" si="206">IF(WEEKDAY(HG$6)=2,HG6,"")</f>
        <v/>
      </c>
      <c r="HH5" s="611" t="str">
        <f t="shared" ref="HH5" ca="1" si="207">IF(WEEKDAY(HH$6)=2,HH6,"")</f>
        <v/>
      </c>
      <c r="HI5" s="611" t="str">
        <f t="shared" ref="HI5" ca="1" si="208">IF(WEEKDAY(HI$6)=2,HI6,"")</f>
        <v/>
      </c>
      <c r="HJ5" s="611">
        <f t="shared" ref="HJ5" ca="1" si="209">IF(WEEKDAY(HJ$6)=2,HJ6,"")</f>
        <v>41589</v>
      </c>
      <c r="HK5" s="611" t="str">
        <f t="shared" ref="HK5" ca="1" si="210">IF(WEEKDAY(HK$6)=2,HK6,"")</f>
        <v/>
      </c>
      <c r="HL5" s="611" t="str">
        <f t="shared" ref="HL5" ca="1" si="211">IF(WEEKDAY(HL$6)=2,HL6,"")</f>
        <v/>
      </c>
      <c r="HM5" s="611" t="str">
        <f t="shared" ref="HM5" ca="1" si="212">IF(WEEKDAY(HM$6)=2,HM6,"")</f>
        <v/>
      </c>
      <c r="HN5" s="611" t="str">
        <f t="shared" ref="HN5" ca="1" si="213">IF(WEEKDAY(HN$6)=2,HN6,"")</f>
        <v/>
      </c>
      <c r="HO5" s="611" t="str">
        <f t="shared" ref="HO5" ca="1" si="214">IF(WEEKDAY(HO$6)=2,HO6,"")</f>
        <v/>
      </c>
      <c r="HP5" s="611" t="str">
        <f t="shared" ref="HP5" ca="1" si="215">IF(WEEKDAY(HP$6)=2,HP6,"")</f>
        <v/>
      </c>
      <c r="HQ5" s="611">
        <f t="shared" ref="HQ5" ca="1" si="216">IF(WEEKDAY(HQ$6)=2,HQ6,"")</f>
        <v>41596</v>
      </c>
      <c r="HR5" s="611" t="str">
        <f t="shared" ref="HR5" ca="1" si="217">IF(WEEKDAY(HR$6)=2,HR6,"")</f>
        <v/>
      </c>
      <c r="HS5" s="611" t="str">
        <f t="shared" ref="HS5" ca="1" si="218">IF(WEEKDAY(HS$6)=2,HS6,"")</f>
        <v/>
      </c>
      <c r="HT5" s="611" t="str">
        <f t="shared" ref="HT5" ca="1" si="219">IF(WEEKDAY(HT$6)=2,HT6,"")</f>
        <v/>
      </c>
      <c r="HU5" s="611" t="str">
        <f t="shared" ref="HU5" ca="1" si="220">IF(WEEKDAY(HU$6)=2,HU6,"")</f>
        <v/>
      </c>
      <c r="HV5" s="611" t="str">
        <f t="shared" ref="HV5" ca="1" si="221">IF(WEEKDAY(HV$6)=2,HV6,"")</f>
        <v/>
      </c>
      <c r="HW5" s="611" t="str">
        <f t="shared" ref="HW5" ca="1" si="222">IF(WEEKDAY(HW$6)=2,HW6,"")</f>
        <v/>
      </c>
      <c r="HX5" s="611">
        <f t="shared" ref="HX5" ca="1" si="223">IF(WEEKDAY(HX$6)=2,HX6,"")</f>
        <v>41603</v>
      </c>
      <c r="HY5" s="611" t="str">
        <f t="shared" ref="HY5" ca="1" si="224">IF(WEEKDAY(HY$6)=2,HY6,"")</f>
        <v/>
      </c>
      <c r="HZ5" s="611" t="str">
        <f t="shared" ref="HZ5" ca="1" si="225">IF(WEEKDAY(HZ$6)=2,HZ6,"")</f>
        <v/>
      </c>
      <c r="IA5" s="611" t="str">
        <f t="shared" ref="IA5" ca="1" si="226">IF(WEEKDAY(IA$6)=2,IA6,"")</f>
        <v/>
      </c>
      <c r="IB5" s="611" t="str">
        <f t="shared" ref="IB5" ca="1" si="227">IF(WEEKDAY(IB$6)=2,IB6,"")</f>
        <v/>
      </c>
      <c r="IC5" s="611" t="str">
        <f t="shared" ref="IC5" ca="1" si="228">IF(WEEKDAY(IC$6)=2,IC6,"")</f>
        <v/>
      </c>
      <c r="ID5" s="611" t="str">
        <f t="shared" ref="ID5" ca="1" si="229">IF(WEEKDAY(ID$6)=2,ID6,"")</f>
        <v/>
      </c>
      <c r="IE5" s="611">
        <f t="shared" ref="IE5" ca="1" si="230">IF(WEEKDAY(IE$6)=2,IE6,"")</f>
        <v>41610</v>
      </c>
      <c r="IF5" s="611" t="str">
        <f t="shared" ref="IF5" ca="1" si="231">IF(WEEKDAY(IF$6)=2,IF6,"")</f>
        <v/>
      </c>
      <c r="IG5" s="611" t="str">
        <f t="shared" ref="IG5" ca="1" si="232">IF(WEEKDAY(IG$6)=2,IG6,"")</f>
        <v/>
      </c>
      <c r="IH5" s="611" t="str">
        <f t="shared" ref="IH5" ca="1" si="233">IF(WEEKDAY(IH$6)=2,IH6,"")</f>
        <v/>
      </c>
      <c r="II5" s="611" t="str">
        <f t="shared" ref="II5" ca="1" si="234">IF(WEEKDAY(II$6)=2,II6,"")</f>
        <v/>
      </c>
      <c r="IJ5" s="611" t="str">
        <f t="shared" ref="IJ5" ca="1" si="235">IF(WEEKDAY(IJ$6)=2,IJ6,"")</f>
        <v/>
      </c>
      <c r="IK5" s="611" t="str">
        <f t="shared" ref="IK5" ca="1" si="236">IF(WEEKDAY(IK$6)=2,IK6,"")</f>
        <v/>
      </c>
      <c r="IL5" s="611">
        <f t="shared" ref="IL5" ca="1" si="237">IF(WEEKDAY(IL$6)=2,IL6,"")</f>
        <v>41617</v>
      </c>
      <c r="IM5" s="611" t="str">
        <f t="shared" ref="IM5" ca="1" si="238">IF(WEEKDAY(IM$6)=2,IM6,"")</f>
        <v/>
      </c>
      <c r="IN5" s="611" t="str">
        <f t="shared" ref="IN5" ca="1" si="239">IF(WEEKDAY(IN$6)=2,IN6,"")</f>
        <v/>
      </c>
      <c r="IO5" s="611" t="str">
        <f t="shared" ref="IO5" ca="1" si="240">IF(WEEKDAY(IO$6)=2,IO6,"")</f>
        <v/>
      </c>
      <c r="IP5" s="611" t="str">
        <f t="shared" ref="IP5" ca="1" si="241">IF(WEEKDAY(IP$6)=2,IP6,"")</f>
        <v/>
      </c>
      <c r="IQ5" s="611" t="str">
        <f t="shared" ref="IQ5" ca="1" si="242">IF(WEEKDAY(IQ$6)=2,IQ6,"")</f>
        <v/>
      </c>
      <c r="IR5" s="611" t="str">
        <f t="shared" ref="IR5" ca="1" si="243">IF(WEEKDAY(IR$6)=2,IR6,"")</f>
        <v/>
      </c>
      <c r="IS5" s="611">
        <f t="shared" ref="IS5" ca="1" si="244">IF(WEEKDAY(IS$6)=2,IS6,"")</f>
        <v>41624</v>
      </c>
      <c r="IT5" s="611" t="str">
        <f t="shared" ref="IT5" ca="1" si="245">IF(WEEKDAY(IT$6)=2,IT6,"")</f>
        <v/>
      </c>
      <c r="IU5" s="611" t="str">
        <f t="shared" ref="IU5" ca="1" si="246">IF(WEEKDAY(IU$6)=2,IU6,"")</f>
        <v/>
      </c>
      <c r="IV5" s="611" t="str">
        <f t="shared" ref="IV5" ca="1" si="247">IF(WEEKDAY(IV$6)=2,IV6,"")</f>
        <v/>
      </c>
      <c r="IW5" s="611" t="str">
        <f t="shared" ref="IW5" ca="1" si="248">IF(WEEKDAY(IW$6)=2,IW6,"")</f>
        <v/>
      </c>
      <c r="IX5" s="611" t="str">
        <f t="shared" ref="IX5" ca="1" si="249">IF(WEEKDAY(IX$6)=2,IX6,"")</f>
        <v/>
      </c>
      <c r="IY5" s="611" t="str">
        <f t="shared" ref="IY5" ca="1" si="250">IF(WEEKDAY(IY$6)=2,IY6,"")</f>
        <v/>
      </c>
      <c r="IZ5" s="611">
        <f t="shared" ref="IZ5" ca="1" si="251">IF(WEEKDAY(IZ$6)=2,IZ6,"")</f>
        <v>41631</v>
      </c>
      <c r="JA5" s="611" t="str">
        <f t="shared" ref="JA5" ca="1" si="252">IF(WEEKDAY(JA$6)=2,JA6,"")</f>
        <v/>
      </c>
      <c r="JB5" s="611" t="str">
        <f t="shared" ref="JB5" ca="1" si="253">IF(WEEKDAY(JB$6)=2,JB6,"")</f>
        <v/>
      </c>
      <c r="JC5" s="611" t="str">
        <f t="shared" ref="JC5" ca="1" si="254">IF(WEEKDAY(JC$6)=2,JC6,"")</f>
        <v/>
      </c>
      <c r="JD5" s="611" t="str">
        <f t="shared" ref="JD5" ca="1" si="255">IF(WEEKDAY(JD$6)=2,JD6,"")</f>
        <v/>
      </c>
      <c r="JE5" s="611" t="str">
        <f t="shared" ref="JE5" ca="1" si="256">IF(WEEKDAY(JE$6)=2,JE6,"")</f>
        <v/>
      </c>
      <c r="JF5" s="611" t="str">
        <f t="shared" ref="JF5" ca="1" si="257">IF(WEEKDAY(JF$6)=2,JF6,"")</f>
        <v/>
      </c>
      <c r="JG5" s="611">
        <f t="shared" ref="JG5" ca="1" si="258">IF(WEEKDAY(JG$6)=2,JG6,"")</f>
        <v>41638</v>
      </c>
      <c r="JH5" s="611" t="str">
        <f t="shared" ref="JH5" ca="1" si="259">IF(WEEKDAY(JH$6)=2,JH6,"")</f>
        <v/>
      </c>
      <c r="JI5" s="611" t="str">
        <f t="shared" ref="JI5" ca="1" si="260">IF(WEEKDAY(JI$6)=2,JI6,"")</f>
        <v/>
      </c>
      <c r="JJ5" s="611" t="str">
        <f t="shared" ref="JJ5" ca="1" si="261">IF(WEEKDAY(JJ$6)=2,JJ6,"")</f>
        <v/>
      </c>
      <c r="JK5" s="611" t="str">
        <f t="shared" ref="JK5" ca="1" si="262">IF(WEEKDAY(JK$6)=2,JK6,"")</f>
        <v/>
      </c>
      <c r="JL5" s="611" t="str">
        <f t="shared" ref="JL5" ca="1" si="263">IF(WEEKDAY(JL$6)=2,JL6,"")</f>
        <v/>
      </c>
      <c r="JM5" s="611" t="str">
        <f t="shared" ref="JM5" ca="1" si="264">IF(WEEKDAY(JM$6)=2,JM6,"")</f>
        <v/>
      </c>
      <c r="JN5" s="611">
        <f t="shared" ref="JN5" ca="1" si="265">IF(WEEKDAY(JN$6)=2,JN6,"")</f>
        <v>41645</v>
      </c>
      <c r="JO5" s="611" t="str">
        <f t="shared" ref="JO5" ca="1" si="266">IF(WEEKDAY(JO$6)=2,JO6,"")</f>
        <v/>
      </c>
      <c r="JP5" s="611" t="str">
        <f t="shared" ref="JP5" ca="1" si="267">IF(WEEKDAY(JP$6)=2,JP6,"")</f>
        <v/>
      </c>
      <c r="JQ5" s="611" t="str">
        <f t="shared" ref="JQ5" ca="1" si="268">IF(WEEKDAY(JQ$6)=2,JQ6,"")</f>
        <v/>
      </c>
      <c r="JR5" s="611" t="str">
        <f t="shared" ref="JR5" ca="1" si="269">IF(WEEKDAY(JR$6)=2,JR6,"")</f>
        <v/>
      </c>
      <c r="JS5" s="611" t="str">
        <f t="shared" ref="JS5" ca="1" si="270">IF(WEEKDAY(JS$6)=2,JS6,"")</f>
        <v/>
      </c>
      <c r="JT5" s="611" t="str">
        <f t="shared" ref="JT5" ca="1" si="271">IF(WEEKDAY(JT$6)=2,JT6,"")</f>
        <v/>
      </c>
      <c r="JU5" s="611">
        <f t="shared" ref="JU5" ca="1" si="272">IF(WEEKDAY(JU$6)=2,JU6,"")</f>
        <v>41652</v>
      </c>
      <c r="JV5" s="611" t="str">
        <f t="shared" ref="JV5" ca="1" si="273">IF(WEEKDAY(JV$6)=2,JV6,"")</f>
        <v/>
      </c>
      <c r="JW5" s="611" t="str">
        <f t="shared" ref="JW5" ca="1" si="274">IF(WEEKDAY(JW$6)=2,JW6,"")</f>
        <v/>
      </c>
      <c r="JX5" s="611" t="str">
        <f t="shared" ref="JX5" ca="1" si="275">IF(WEEKDAY(JX$6)=2,JX6,"")</f>
        <v/>
      </c>
      <c r="JY5" s="611" t="str">
        <f t="shared" ref="JY5" ca="1" si="276">IF(WEEKDAY(JY$6)=2,JY6,"")</f>
        <v/>
      </c>
      <c r="JZ5" s="611" t="str">
        <f t="shared" ref="JZ5" ca="1" si="277">IF(WEEKDAY(JZ$6)=2,JZ6,"")</f>
        <v/>
      </c>
      <c r="KA5" s="611" t="str">
        <f t="shared" ref="KA5" ca="1" si="278">IF(WEEKDAY(KA$6)=2,KA6,"")</f>
        <v/>
      </c>
      <c r="KB5" s="611">
        <f t="shared" ref="KB5" ca="1" si="279">IF(WEEKDAY(KB$6)=2,KB6,"")</f>
        <v>41659</v>
      </c>
      <c r="KC5" s="611" t="str">
        <f t="shared" ref="KC5" ca="1" si="280">IF(WEEKDAY(KC$6)=2,KC6,"")</f>
        <v/>
      </c>
      <c r="KD5" s="611" t="str">
        <f t="shared" ref="KD5" ca="1" si="281">IF(WEEKDAY(KD$6)=2,KD6,"")</f>
        <v/>
      </c>
      <c r="KE5" s="611" t="str">
        <f t="shared" ref="KE5" ca="1" si="282">IF(WEEKDAY(KE$6)=2,KE6,"")</f>
        <v/>
      </c>
      <c r="KF5" s="611" t="str">
        <f t="shared" ref="KF5" ca="1" si="283">IF(WEEKDAY(KF$6)=2,KF6,"")</f>
        <v/>
      </c>
      <c r="KG5" s="611" t="str">
        <f t="shared" ref="KG5" ca="1" si="284">IF(WEEKDAY(KG$6)=2,KG6,"")</f>
        <v/>
      </c>
      <c r="KH5" s="611" t="str">
        <f t="shared" ref="KH5" ca="1" si="285">IF(WEEKDAY(KH$6)=2,KH6,"")</f>
        <v/>
      </c>
      <c r="KI5" s="611">
        <f t="shared" ref="KI5" ca="1" si="286">IF(WEEKDAY(KI$6)=2,KI6,"")</f>
        <v>41666</v>
      </c>
      <c r="KJ5" s="611" t="str">
        <f t="shared" ref="KJ5" ca="1" si="287">IF(WEEKDAY(KJ$6)=2,KJ6,"")</f>
        <v/>
      </c>
      <c r="KK5" s="611" t="str">
        <f t="shared" ref="KK5" ca="1" si="288">IF(WEEKDAY(KK$6)=2,KK6,"")</f>
        <v/>
      </c>
      <c r="KL5" s="611" t="str">
        <f t="shared" ref="KL5" ca="1" si="289">IF(WEEKDAY(KL$6)=2,KL6,"")</f>
        <v/>
      </c>
      <c r="KM5" s="611" t="str">
        <f t="shared" ref="KM5" ca="1" si="290">IF(WEEKDAY(KM$6)=2,KM6,"")</f>
        <v/>
      </c>
      <c r="KN5" s="611" t="str">
        <f t="shared" ref="KN5" ca="1" si="291">IF(WEEKDAY(KN$6)=2,KN6,"")</f>
        <v/>
      </c>
      <c r="KO5" s="611" t="str">
        <f t="shared" ref="KO5" ca="1" si="292">IF(WEEKDAY(KO$6)=2,KO6,"")</f>
        <v/>
      </c>
      <c r="KP5" s="611">
        <f t="shared" ref="KP5" ca="1" si="293">IF(WEEKDAY(KP$6)=2,KP6,"")</f>
        <v>41673</v>
      </c>
      <c r="KQ5" s="611" t="str">
        <f t="shared" ref="KQ5" ca="1" si="294">IF(WEEKDAY(KQ$6)=2,KQ6,"")</f>
        <v/>
      </c>
      <c r="KR5" s="611" t="str">
        <f t="shared" ref="KR5" ca="1" si="295">IF(WEEKDAY(KR$6)=2,KR6,"")</f>
        <v/>
      </c>
      <c r="KS5" s="611" t="str">
        <f t="shared" ref="KS5" ca="1" si="296">IF(WEEKDAY(KS$6)=2,KS6,"")</f>
        <v/>
      </c>
      <c r="KT5" s="611" t="str">
        <f t="shared" ref="KT5" ca="1" si="297">IF(WEEKDAY(KT$6)=2,KT6,"")</f>
        <v/>
      </c>
      <c r="KU5" s="611" t="str">
        <f t="shared" ref="KU5" ca="1" si="298">IF(WEEKDAY(KU$6)=2,KU6,"")</f>
        <v/>
      </c>
      <c r="KV5" s="611" t="str">
        <f t="shared" ref="KV5" ca="1" si="299">IF(WEEKDAY(KV$6)=2,KV6,"")</f>
        <v/>
      </c>
      <c r="KW5" s="611">
        <f t="shared" ref="KW5" ca="1" si="300">IF(WEEKDAY(KW$6)=2,KW6,"")</f>
        <v>41680</v>
      </c>
      <c r="KX5" s="611" t="str">
        <f t="shared" ref="KX5" ca="1" si="301">IF(WEEKDAY(KX$6)=2,KX6,"")</f>
        <v/>
      </c>
      <c r="KY5" s="611" t="str">
        <f t="shared" ref="KY5" ca="1" si="302">IF(WEEKDAY(KY$6)=2,KY6,"")</f>
        <v/>
      </c>
      <c r="KZ5" s="611" t="str">
        <f t="shared" ref="KZ5" ca="1" si="303">IF(WEEKDAY(KZ$6)=2,KZ6,"")</f>
        <v/>
      </c>
      <c r="LA5" s="611" t="str">
        <f t="shared" ref="LA5" ca="1" si="304">IF(WEEKDAY(LA$6)=2,LA6,"")</f>
        <v/>
      </c>
      <c r="LB5" s="611" t="str">
        <f t="shared" ref="LB5" ca="1" si="305">IF(WEEKDAY(LB$6)=2,LB6,"")</f>
        <v/>
      </c>
      <c r="LC5" s="611" t="str">
        <f t="shared" ref="LC5" ca="1" si="306">IF(WEEKDAY(LC$6)=2,LC6,"")</f>
        <v/>
      </c>
      <c r="LD5" s="611">
        <f t="shared" ref="LD5" ca="1" si="307">IF(WEEKDAY(LD$6)=2,LD6,"")</f>
        <v>41687</v>
      </c>
      <c r="LE5" s="611" t="str">
        <f t="shared" ref="LE5" ca="1" si="308">IF(WEEKDAY(LE$6)=2,LE6,"")</f>
        <v/>
      </c>
      <c r="LF5" s="611" t="str">
        <f t="shared" ref="LF5" ca="1" si="309">IF(WEEKDAY(LF$6)=2,LF6,"")</f>
        <v/>
      </c>
      <c r="LG5" s="611" t="str">
        <f t="shared" ref="LG5" ca="1" si="310">IF(WEEKDAY(LG$6)=2,LG6,"")</f>
        <v/>
      </c>
      <c r="LH5" s="611" t="str">
        <f t="shared" ref="LH5" ca="1" si="311">IF(WEEKDAY(LH$6)=2,LH6,"")</f>
        <v/>
      </c>
      <c r="LI5" s="611" t="str">
        <f t="shared" ref="LI5" ca="1" si="312">IF(WEEKDAY(LI$6)=2,LI6,"")</f>
        <v/>
      </c>
      <c r="LJ5" s="611" t="str">
        <f t="shared" ref="LJ5" ca="1" si="313">IF(WEEKDAY(LJ$6)=2,LJ6,"")</f>
        <v/>
      </c>
      <c r="LK5" s="611">
        <f t="shared" ref="LK5" ca="1" si="314">IF(WEEKDAY(LK$6)=2,LK6,"")</f>
        <v>41694</v>
      </c>
      <c r="LL5" s="611" t="str">
        <f t="shared" ref="LL5" ca="1" si="315">IF(WEEKDAY(LL$6)=2,LL6,"")</f>
        <v/>
      </c>
      <c r="LM5" s="611" t="str">
        <f t="shared" ref="LM5" ca="1" si="316">IF(WEEKDAY(LM$6)=2,LM6,"")</f>
        <v/>
      </c>
      <c r="LN5" s="611" t="str">
        <f t="shared" ref="LN5" ca="1" si="317">IF(WEEKDAY(LN$6)=2,LN6,"")</f>
        <v/>
      </c>
      <c r="LO5" s="611" t="str">
        <f t="shared" ref="LO5" ca="1" si="318">IF(WEEKDAY(LO$6)=2,LO6,"")</f>
        <v/>
      </c>
      <c r="LP5" s="611" t="str">
        <f t="shared" ref="LP5" ca="1" si="319">IF(WEEKDAY(LP$6)=2,LP6,"")</f>
        <v/>
      </c>
      <c r="LQ5" s="611" t="str">
        <f t="shared" ref="LQ5" ca="1" si="320">IF(WEEKDAY(LQ$6)=2,LQ6,"")</f>
        <v/>
      </c>
      <c r="LR5" s="611">
        <f t="shared" ref="LR5" ca="1" si="321">IF(WEEKDAY(LR$6)=2,LR6,"")</f>
        <v>41701</v>
      </c>
      <c r="LS5" s="611" t="str">
        <f t="shared" ref="LS5" ca="1" si="322">IF(WEEKDAY(LS$6)=2,LS6,"")</f>
        <v/>
      </c>
      <c r="LT5" s="611" t="str">
        <f t="shared" ref="LT5" ca="1" si="323">IF(WEEKDAY(LT$6)=2,LT6,"")</f>
        <v/>
      </c>
      <c r="LU5" s="611" t="str">
        <f t="shared" ref="LU5" ca="1" si="324">IF(WEEKDAY(LU$6)=2,LU6,"")</f>
        <v/>
      </c>
      <c r="LV5" s="611" t="str">
        <f t="shared" ref="LV5" ca="1" si="325">IF(WEEKDAY(LV$6)=2,LV6,"")</f>
        <v/>
      </c>
      <c r="LW5" s="611" t="str">
        <f t="shared" ref="LW5" ca="1" si="326">IF(WEEKDAY(LW$6)=2,LW6,"")</f>
        <v/>
      </c>
      <c r="LX5" s="611" t="str">
        <f t="shared" ref="LX5" ca="1" si="327">IF(WEEKDAY(LX$6)=2,LX6,"")</f>
        <v/>
      </c>
      <c r="LY5" s="611">
        <f t="shared" ref="LY5" ca="1" si="328">IF(WEEKDAY(LY$6)=2,LY6,"")</f>
        <v>41708</v>
      </c>
      <c r="LZ5" s="611" t="str">
        <f t="shared" ref="LZ5" ca="1" si="329">IF(WEEKDAY(LZ$6)=2,LZ6,"")</f>
        <v/>
      </c>
      <c r="MA5" s="611" t="str">
        <f t="shared" ref="MA5" ca="1" si="330">IF(WEEKDAY(MA$6)=2,MA6,"")</f>
        <v/>
      </c>
      <c r="MB5" s="611" t="str">
        <f t="shared" ref="MB5" ca="1" si="331">IF(WEEKDAY(MB$6)=2,MB6,"")</f>
        <v/>
      </c>
      <c r="MC5" s="611" t="str">
        <f t="shared" ref="MC5" ca="1" si="332">IF(WEEKDAY(MC$6)=2,MC6,"")</f>
        <v/>
      </c>
      <c r="MD5" s="611" t="str">
        <f t="shared" ref="MD5" ca="1" si="333">IF(WEEKDAY(MD$6)=2,MD6,"")</f>
        <v/>
      </c>
      <c r="ME5" s="611" t="str">
        <f t="shared" ref="ME5" ca="1" si="334">IF(WEEKDAY(ME$6)=2,ME6,"")</f>
        <v/>
      </c>
      <c r="MF5" s="611">
        <f t="shared" ref="MF5" ca="1" si="335">IF(WEEKDAY(MF$6)=2,MF6,"")</f>
        <v>41715</v>
      </c>
      <c r="MG5" s="611" t="str">
        <f t="shared" ref="MG5" ca="1" si="336">IF(WEEKDAY(MG$6)=2,MG6,"")</f>
        <v/>
      </c>
      <c r="MH5" s="611" t="str">
        <f t="shared" ref="MH5" ca="1" si="337">IF(WEEKDAY(MH$6)=2,MH6,"")</f>
        <v/>
      </c>
      <c r="MI5" s="611" t="str">
        <f t="shared" ref="MI5" ca="1" si="338">IF(WEEKDAY(MI$6)=2,MI6,"")</f>
        <v/>
      </c>
      <c r="MJ5" s="611" t="str">
        <f t="shared" ref="MJ5" ca="1" si="339">IF(WEEKDAY(MJ$6)=2,MJ6,"")</f>
        <v/>
      </c>
      <c r="MK5" s="611" t="str">
        <f t="shared" ref="MK5" ca="1" si="340">IF(WEEKDAY(MK$6)=2,MK6,"")</f>
        <v/>
      </c>
      <c r="ML5" s="611" t="str">
        <f t="shared" ref="ML5" ca="1" si="341">IF(WEEKDAY(ML$6)=2,ML6,"")</f>
        <v/>
      </c>
      <c r="MM5" s="611">
        <f t="shared" ref="MM5" ca="1" si="342">IF(WEEKDAY(MM$6)=2,MM6,"")</f>
        <v>41722</v>
      </c>
      <c r="MN5" s="611" t="str">
        <f t="shared" ref="MN5" ca="1" si="343">IF(WEEKDAY(MN$6)=2,MN6,"")</f>
        <v/>
      </c>
      <c r="MO5" s="611" t="str">
        <f t="shared" ref="MO5" ca="1" si="344">IF(WEEKDAY(MO$6)=2,MO6,"")</f>
        <v/>
      </c>
      <c r="MP5" s="611" t="str">
        <f t="shared" ref="MP5" ca="1" si="345">IF(WEEKDAY(MP$6)=2,MP6,"")</f>
        <v/>
      </c>
      <c r="MQ5" s="611" t="str">
        <f t="shared" ref="MQ5" ca="1" si="346">IF(WEEKDAY(MQ$6)=2,MQ6,"")</f>
        <v/>
      </c>
      <c r="MR5" s="611" t="str">
        <f t="shared" ref="MR5" ca="1" si="347">IF(WEEKDAY(MR$6)=2,MR6,"")</f>
        <v/>
      </c>
      <c r="MS5" s="611" t="str">
        <f t="shared" ref="MS5" ca="1" si="348">IF(WEEKDAY(MS$6)=2,MS6,"")</f>
        <v/>
      </c>
      <c r="MT5" s="611">
        <f t="shared" ref="MT5" ca="1" si="349">IF(WEEKDAY(MT$6)=2,MT6,"")</f>
        <v>41729</v>
      </c>
      <c r="MU5" s="611" t="str">
        <f t="shared" ref="MU5" ca="1" si="350">IF(WEEKDAY(MU$6)=2,MU6,"")</f>
        <v/>
      </c>
      <c r="MV5" s="611" t="str">
        <f t="shared" ref="MV5" ca="1" si="351">IF(WEEKDAY(MV$6)=2,MV6,"")</f>
        <v/>
      </c>
      <c r="MW5" s="611" t="str">
        <f t="shared" ref="MW5" ca="1" si="352">IF(WEEKDAY(MW$6)=2,MW6,"")</f>
        <v/>
      </c>
      <c r="MX5" s="611" t="str">
        <f t="shared" ref="MX5" ca="1" si="353">IF(WEEKDAY(MX$6)=2,MX6,"")</f>
        <v/>
      </c>
      <c r="MY5" s="611" t="str">
        <f t="shared" ref="MY5" ca="1" si="354">IF(WEEKDAY(MY$6)=2,MY6,"")</f>
        <v/>
      </c>
      <c r="MZ5" s="611" t="str">
        <f t="shared" ref="MZ5" ca="1" si="355">IF(WEEKDAY(MZ$6)=2,MZ6,"")</f>
        <v/>
      </c>
      <c r="NA5" s="611">
        <f t="shared" ref="NA5" ca="1" si="356">IF(WEEKDAY(NA$6)=2,NA6,"")</f>
        <v>41736</v>
      </c>
      <c r="NB5" s="611" t="str">
        <f t="shared" ref="NB5" ca="1" si="357">IF(WEEKDAY(NB$6)=2,NB6,"")</f>
        <v/>
      </c>
      <c r="NC5" s="611" t="str">
        <f t="shared" ref="NC5" ca="1" si="358">IF(WEEKDAY(NC$6)=2,NC6,"")</f>
        <v/>
      </c>
      <c r="ND5" s="611" t="str">
        <f t="shared" ref="ND5" ca="1" si="359">IF(WEEKDAY(ND$6)=2,ND6,"")</f>
        <v/>
      </c>
      <c r="NE5" s="611" t="str">
        <f t="shared" ref="NE5" ca="1" si="360">IF(WEEKDAY(NE$6)=2,NE6,"")</f>
        <v/>
      </c>
      <c r="NF5" s="611" t="str">
        <f t="shared" ref="NF5" ca="1" si="361">IF(WEEKDAY(NF$6)=2,NF6,"")</f>
        <v/>
      </c>
      <c r="NG5" s="611" t="str">
        <f t="shared" ref="NG5" ca="1" si="362">IF(WEEKDAY(NG$6)=2,NG6,"")</f>
        <v/>
      </c>
      <c r="NH5" s="611">
        <f t="shared" ref="NH5" ca="1" si="363">IF(WEEKDAY(NH$6)=2,NH6,"")</f>
        <v>41743</v>
      </c>
      <c r="NI5" s="611" t="str">
        <f t="shared" ref="NI5" ca="1" si="364">IF(WEEKDAY(NI$6)=2,NI6,"")</f>
        <v/>
      </c>
      <c r="NJ5" s="611" t="str">
        <f t="shared" ref="NJ5" ca="1" si="365">IF(WEEKDAY(NJ$6)=2,NJ6,"")</f>
        <v/>
      </c>
      <c r="NK5" s="611" t="str">
        <f t="shared" ref="NK5" ca="1" si="366">IF(WEEKDAY(NK$6)=2,NK6,"")</f>
        <v/>
      </c>
      <c r="NL5" s="611" t="str">
        <f t="shared" ref="NL5" ca="1" si="367">IF(WEEKDAY(NL$6)=2,NL6,"")</f>
        <v/>
      </c>
      <c r="NM5" s="611" t="str">
        <f t="shared" ref="NM5" ca="1" si="368">IF(WEEKDAY(NM$6)=2,NM6,"")</f>
        <v/>
      </c>
      <c r="NN5" s="611" t="str">
        <f t="shared" ref="NN5" ca="1" si="369">IF(WEEKDAY(NN$6)=2,NN6,"")</f>
        <v/>
      </c>
      <c r="NO5" s="611">
        <f t="shared" ref="NO5" ca="1" si="370">IF(WEEKDAY(NO$6)=2,NO6,"")</f>
        <v>41750</v>
      </c>
      <c r="NP5" s="611" t="str">
        <f t="shared" ref="NP5" ca="1" si="371">IF(WEEKDAY(NP$6)=2,NP6,"")</f>
        <v/>
      </c>
      <c r="NQ5" s="611" t="str">
        <f t="shared" ref="NQ5" ca="1" si="372">IF(WEEKDAY(NQ$6)=2,NQ6,"")</f>
        <v/>
      </c>
      <c r="NR5" s="611" t="str">
        <f t="shared" ref="NR5" ca="1" si="373">IF(WEEKDAY(NR$6)=2,NR6,"")</f>
        <v/>
      </c>
      <c r="NS5" s="611" t="str">
        <f t="shared" ref="NS5" ca="1" si="374">IF(WEEKDAY(NS$6)=2,NS6,"")</f>
        <v/>
      </c>
      <c r="NT5" s="611" t="str">
        <f t="shared" ref="NT5" ca="1" si="375">IF(WEEKDAY(NT$6)=2,NT6,"")</f>
        <v/>
      </c>
      <c r="NU5" s="611" t="str">
        <f t="shared" ref="NU5" ca="1" si="376">IF(WEEKDAY(NU$6)=2,NU6,"")</f>
        <v/>
      </c>
      <c r="NV5" s="611">
        <f t="shared" ref="NV5" ca="1" si="377">IF(WEEKDAY(NV$6)=2,NV6,"")</f>
        <v>41757</v>
      </c>
      <c r="NW5" s="611" t="str">
        <f t="shared" ref="NW5" ca="1" si="378">IF(WEEKDAY(NW$6)=2,NW6,"")</f>
        <v/>
      </c>
      <c r="NX5" s="611" t="str">
        <f t="shared" ref="NX5" ca="1" si="379">IF(WEEKDAY(NX$6)=2,NX6,"")</f>
        <v/>
      </c>
      <c r="NY5" s="611" t="str">
        <f t="shared" ref="NY5" ca="1" si="380">IF(WEEKDAY(NY$6)=2,NY6,"")</f>
        <v/>
      </c>
      <c r="NZ5" s="611" t="str">
        <f t="shared" ref="NZ5" ca="1" si="381">IF(WEEKDAY(NZ$6)=2,NZ6,"")</f>
        <v/>
      </c>
      <c r="OA5" s="611" t="str">
        <f t="shared" ref="OA5" ca="1" si="382">IF(WEEKDAY(OA$6)=2,OA6,"")</f>
        <v/>
      </c>
      <c r="OB5" s="611" t="str">
        <f t="shared" ref="OB5" ca="1" si="383">IF(WEEKDAY(OB$6)=2,OB6,"")</f>
        <v/>
      </c>
      <c r="OC5" s="611">
        <f t="shared" ref="OC5" ca="1" si="384">IF(WEEKDAY(OC$6)=2,OC6,"")</f>
        <v>41764</v>
      </c>
      <c r="OD5" s="611" t="str">
        <f t="shared" ref="OD5" ca="1" si="385">IF(WEEKDAY(OD$6)=2,OD6,"")</f>
        <v/>
      </c>
      <c r="OE5" s="611" t="str">
        <f t="shared" ref="OE5" ca="1" si="386">IF(WEEKDAY(OE$6)=2,OE6,"")</f>
        <v/>
      </c>
      <c r="OF5" s="611" t="str">
        <f t="shared" ref="OF5" ca="1" si="387">IF(WEEKDAY(OF$6)=2,OF6,"")</f>
        <v/>
      </c>
      <c r="OG5" s="611" t="str">
        <f t="shared" ref="OG5" ca="1" si="388">IF(WEEKDAY(OG$6)=2,OG6,"")</f>
        <v/>
      </c>
      <c r="OH5" s="611" t="str">
        <f t="shared" ref="OH5" ca="1" si="389">IF(WEEKDAY(OH$6)=2,OH6,"")</f>
        <v/>
      </c>
      <c r="OI5" s="611" t="str">
        <f t="shared" ref="OI5" ca="1" si="390">IF(WEEKDAY(OI$6)=2,OI6,"")</f>
        <v/>
      </c>
      <c r="OJ5" s="611">
        <f t="shared" ref="OJ5" ca="1" si="391">IF(WEEKDAY(OJ$6)=2,OJ6,"")</f>
        <v>41771</v>
      </c>
      <c r="OK5" s="611" t="str">
        <f t="shared" ref="OK5" ca="1" si="392">IF(WEEKDAY(OK$6)=2,OK6,"")</f>
        <v/>
      </c>
      <c r="OL5" s="611" t="str">
        <f t="shared" ref="OL5" ca="1" si="393">IF(WEEKDAY(OL$6)=2,OL6,"")</f>
        <v/>
      </c>
      <c r="OM5" s="611" t="str">
        <f t="shared" ref="OM5" ca="1" si="394">IF(WEEKDAY(OM$6)=2,OM6,"")</f>
        <v/>
      </c>
      <c r="ON5" s="611" t="str">
        <f t="shared" ref="ON5" ca="1" si="395">IF(WEEKDAY(ON$6)=2,ON6,"")</f>
        <v/>
      </c>
      <c r="OO5" s="611" t="str">
        <f t="shared" ref="OO5" ca="1" si="396">IF(WEEKDAY(OO$6)=2,OO6,"")</f>
        <v/>
      </c>
      <c r="OP5" s="611" t="str">
        <f t="shared" ref="OP5" ca="1" si="397">IF(WEEKDAY(OP$6)=2,OP6,"")</f>
        <v/>
      </c>
      <c r="OQ5" s="611">
        <f t="shared" ref="OQ5" ca="1" si="398">IF(WEEKDAY(OQ$6)=2,OQ6,"")</f>
        <v>41778</v>
      </c>
      <c r="OR5" s="611" t="str">
        <f t="shared" ref="OR5" ca="1" si="399">IF(WEEKDAY(OR$6)=2,OR6,"")</f>
        <v/>
      </c>
      <c r="OS5" s="611" t="str">
        <f t="shared" ref="OS5" ca="1" si="400">IF(WEEKDAY(OS$6)=2,OS6,"")</f>
        <v/>
      </c>
      <c r="OT5" s="611" t="str">
        <f t="shared" ref="OT5" ca="1" si="401">IF(WEEKDAY(OT$6)=2,OT6,"")</f>
        <v/>
      </c>
      <c r="OU5" s="611" t="str">
        <f t="shared" ref="OU5" ca="1" si="402">IF(WEEKDAY(OU$6)=2,OU6,"")</f>
        <v/>
      </c>
      <c r="OV5" s="611" t="str">
        <f t="shared" ref="OV5" ca="1" si="403">IF(WEEKDAY(OV$6)=2,OV6,"")</f>
        <v/>
      </c>
      <c r="OW5" s="611" t="str">
        <f t="shared" ref="OW5" ca="1" si="404">IF(WEEKDAY(OW$6)=2,OW6,"")</f>
        <v/>
      </c>
      <c r="OX5" s="611">
        <f t="shared" ref="OX5" ca="1" si="405">IF(WEEKDAY(OX$6)=2,OX6,"")</f>
        <v>41785</v>
      </c>
      <c r="OY5" s="611" t="str">
        <f t="shared" ref="OY5" ca="1" si="406">IF(WEEKDAY(OY$6)=2,OY6,"")</f>
        <v/>
      </c>
      <c r="OZ5" s="611" t="str">
        <f t="shared" ref="OZ5" ca="1" si="407">IF(WEEKDAY(OZ$6)=2,OZ6,"")</f>
        <v/>
      </c>
      <c r="PA5" s="611" t="str">
        <f t="shared" ref="PA5" ca="1" si="408">IF(WEEKDAY(PA$6)=2,PA6,"")</f>
        <v/>
      </c>
      <c r="PB5" s="611" t="str">
        <f t="shared" ref="PB5" ca="1" si="409">IF(WEEKDAY(PB$6)=2,PB6,"")</f>
        <v/>
      </c>
      <c r="PC5" s="611" t="str">
        <f t="shared" ref="PC5" ca="1" si="410">IF(WEEKDAY(PC$6)=2,PC6,"")</f>
        <v/>
      </c>
      <c r="PD5" s="611" t="str">
        <f t="shared" ref="PD5" ca="1" si="411">IF(WEEKDAY(PD$6)=2,PD6,"")</f>
        <v/>
      </c>
      <c r="PE5" s="611">
        <f t="shared" ref="PE5" ca="1" si="412">IF(WEEKDAY(PE$6)=2,PE6,"")</f>
        <v>41792</v>
      </c>
      <c r="PF5" s="611" t="str">
        <f t="shared" ref="PF5" ca="1" si="413">IF(WEEKDAY(PF$6)=2,PF6,"")</f>
        <v/>
      </c>
      <c r="PG5" s="611" t="str">
        <f t="shared" ref="PG5" ca="1" si="414">IF(WEEKDAY(PG$6)=2,PG6,"")</f>
        <v/>
      </c>
      <c r="PH5" s="611" t="str">
        <f t="shared" ref="PH5" ca="1" si="415">IF(WEEKDAY(PH$6)=2,PH6,"")</f>
        <v/>
      </c>
      <c r="PI5" s="611" t="str">
        <f t="shared" ref="PI5" ca="1" si="416">IF(WEEKDAY(PI$6)=2,PI6,"")</f>
        <v/>
      </c>
      <c r="PJ5" s="611" t="str">
        <f t="shared" ref="PJ5" ca="1" si="417">IF(WEEKDAY(PJ$6)=2,PJ6,"")</f>
        <v/>
      </c>
      <c r="PK5" s="611" t="str">
        <f t="shared" ref="PK5" ca="1" si="418">IF(WEEKDAY(PK$6)=2,PK6,"")</f>
        <v/>
      </c>
      <c r="PL5" s="611">
        <f t="shared" ref="PL5" ca="1" si="419">IF(WEEKDAY(PL$6)=2,PL6,"")</f>
        <v>41799</v>
      </c>
      <c r="PM5" s="611" t="str">
        <f t="shared" ref="PM5" ca="1" si="420">IF(WEEKDAY(PM$6)=2,PM6,"")</f>
        <v/>
      </c>
      <c r="PN5" s="611" t="str">
        <f t="shared" ref="PN5" ca="1" si="421">IF(WEEKDAY(PN$6)=2,PN6,"")</f>
        <v/>
      </c>
      <c r="PO5" s="611" t="str">
        <f t="shared" ref="PO5" ca="1" si="422">IF(WEEKDAY(PO$6)=2,PO6,"")</f>
        <v/>
      </c>
      <c r="PP5" s="611" t="str">
        <f t="shared" ref="PP5" ca="1" si="423">IF(WEEKDAY(PP$6)=2,PP6,"")</f>
        <v/>
      </c>
      <c r="PQ5" s="611" t="str">
        <f t="shared" ref="PQ5" ca="1" si="424">IF(WEEKDAY(PQ$6)=2,PQ6,"")</f>
        <v/>
      </c>
      <c r="PR5" s="611" t="str">
        <f t="shared" ref="PR5" ca="1" si="425">IF(WEEKDAY(PR$6)=2,PR6,"")</f>
        <v/>
      </c>
      <c r="PS5" s="611">
        <f t="shared" ref="PS5" ca="1" si="426">IF(WEEKDAY(PS$6)=2,PS6,"")</f>
        <v>41806</v>
      </c>
      <c r="PT5" s="611" t="str">
        <f t="shared" ref="PT5" ca="1" si="427">IF(WEEKDAY(PT$6)=2,PT6,"")</f>
        <v/>
      </c>
      <c r="PU5" s="611" t="str">
        <f t="shared" ref="PU5" ca="1" si="428">IF(WEEKDAY(PU$6)=2,PU6,"")</f>
        <v/>
      </c>
      <c r="PV5" s="611" t="str">
        <f t="shared" ref="PV5" ca="1" si="429">IF(WEEKDAY(PV$6)=2,PV6,"")</f>
        <v/>
      </c>
      <c r="PW5" s="611" t="str">
        <f t="shared" ref="PW5" ca="1" si="430">IF(WEEKDAY(PW$6)=2,PW6,"")</f>
        <v/>
      </c>
      <c r="PX5" s="611" t="str">
        <f t="shared" ref="PX5" ca="1" si="431">IF(WEEKDAY(PX$6)=2,PX6,"")</f>
        <v/>
      </c>
      <c r="PY5" s="611" t="str">
        <f t="shared" ref="PY5" ca="1" si="432">IF(WEEKDAY(PY$6)=2,PY6,"")</f>
        <v/>
      </c>
      <c r="PZ5" s="611">
        <f t="shared" ref="PZ5" ca="1" si="433">IF(WEEKDAY(PZ$6)=2,PZ6,"")</f>
        <v>41813</v>
      </c>
      <c r="QA5" s="611" t="str">
        <f t="shared" ref="QA5" ca="1" si="434">IF(WEEKDAY(QA$6)=2,QA6,"")</f>
        <v/>
      </c>
      <c r="QB5" s="611" t="str">
        <f t="shared" ref="QB5" ca="1" si="435">IF(WEEKDAY(QB$6)=2,QB6,"")</f>
        <v/>
      </c>
      <c r="QC5" s="611" t="str">
        <f t="shared" ref="QC5" ca="1" si="436">IF(WEEKDAY(QC$6)=2,QC6,"")</f>
        <v/>
      </c>
      <c r="QD5" s="611" t="str">
        <f t="shared" ref="QD5" ca="1" si="437">IF(WEEKDAY(QD$6)=2,QD6,"")</f>
        <v/>
      </c>
      <c r="QE5" s="611" t="str">
        <f t="shared" ref="QE5" ca="1" si="438">IF(WEEKDAY(QE$6)=2,QE6,"")</f>
        <v/>
      </c>
      <c r="QF5" s="611" t="str">
        <f t="shared" ref="QF5" ca="1" si="439">IF(WEEKDAY(QF$6)=2,QF6,"")</f>
        <v/>
      </c>
      <c r="QG5" s="611">
        <f t="shared" ref="QG5" ca="1" si="440">IF(WEEKDAY(QG$6)=2,QG6,"")</f>
        <v>41820</v>
      </c>
      <c r="QH5" s="611" t="str">
        <f t="shared" ref="QH5" ca="1" si="441">IF(WEEKDAY(QH$6)=2,QH6,"")</f>
        <v/>
      </c>
      <c r="QI5" s="611" t="str">
        <f t="shared" ref="QI5" ca="1" si="442">IF(WEEKDAY(QI$6)=2,QI6,"")</f>
        <v/>
      </c>
      <c r="QJ5" s="611" t="str">
        <f t="shared" ref="QJ5" ca="1" si="443">IF(WEEKDAY(QJ$6)=2,QJ6,"")</f>
        <v/>
      </c>
      <c r="QK5" s="611" t="str">
        <f t="shared" ref="QK5" ca="1" si="444">IF(WEEKDAY(QK$6)=2,QK6,"")</f>
        <v/>
      </c>
      <c r="QL5" s="611" t="str">
        <f t="shared" ref="QL5" ca="1" si="445">IF(WEEKDAY(QL$6)=2,QL6,"")</f>
        <v/>
      </c>
      <c r="QM5" s="611" t="str">
        <f t="shared" ref="QM5" ca="1" si="446">IF(WEEKDAY(QM$6)=2,QM6,"")</f>
        <v/>
      </c>
      <c r="QN5" s="611">
        <f t="shared" ref="QN5" ca="1" si="447">IF(WEEKDAY(QN$6)=2,QN6,"")</f>
        <v>41827</v>
      </c>
      <c r="QO5" s="611" t="str">
        <f t="shared" ref="QO5" ca="1" si="448">IF(WEEKDAY(QO$6)=2,QO6,"")</f>
        <v/>
      </c>
      <c r="QP5" s="611" t="str">
        <f t="shared" ref="QP5" ca="1" si="449">IF(WEEKDAY(QP$6)=2,QP6,"")</f>
        <v/>
      </c>
      <c r="QQ5" s="611" t="str">
        <f t="shared" ref="QQ5" ca="1" si="450">IF(WEEKDAY(QQ$6)=2,QQ6,"")</f>
        <v/>
      </c>
      <c r="QR5" s="611" t="str">
        <f t="shared" ref="QR5" ca="1" si="451">IF(WEEKDAY(QR$6)=2,QR6,"")</f>
        <v/>
      </c>
      <c r="QS5" s="611" t="str">
        <f t="shared" ref="QS5" ca="1" si="452">IF(WEEKDAY(QS$6)=2,QS6,"")</f>
        <v/>
      </c>
      <c r="QT5" s="611" t="str">
        <f t="shared" ref="QT5" ca="1" si="453">IF(WEEKDAY(QT$6)=2,QT6,"")</f>
        <v/>
      </c>
      <c r="QU5" s="611">
        <f t="shared" ref="QU5" ca="1" si="454">IF(WEEKDAY(QU$6)=2,QU6,"")</f>
        <v>41834</v>
      </c>
      <c r="QV5" s="611" t="str">
        <f t="shared" ref="QV5" ca="1" si="455">IF(WEEKDAY(QV$6)=2,QV6,"")</f>
        <v/>
      </c>
      <c r="QW5" s="611" t="str">
        <f t="shared" ref="QW5" ca="1" si="456">IF(WEEKDAY(QW$6)=2,QW6,"")</f>
        <v/>
      </c>
      <c r="QX5" s="611" t="str">
        <f t="shared" ref="QX5" ca="1" si="457">IF(WEEKDAY(QX$6)=2,QX6,"")</f>
        <v/>
      </c>
      <c r="QY5" s="611" t="str">
        <f t="shared" ref="QY5" ca="1" si="458">IF(WEEKDAY(QY$6)=2,QY6,"")</f>
        <v/>
      </c>
      <c r="QZ5" s="611" t="str">
        <f t="shared" ref="QZ5" ca="1" si="459">IF(WEEKDAY(QZ$6)=2,QZ6,"")</f>
        <v/>
      </c>
      <c r="RA5" s="611" t="str">
        <f t="shared" ref="RA5" ca="1" si="460">IF(WEEKDAY(RA$6)=2,RA6,"")</f>
        <v/>
      </c>
      <c r="RB5" s="611">
        <f t="shared" ref="RB5" ca="1" si="461">IF(WEEKDAY(RB$6)=2,RB6,"")</f>
        <v>41841</v>
      </c>
      <c r="RC5" s="611" t="str">
        <f t="shared" ref="RC5" ca="1" si="462">IF(WEEKDAY(RC$6)=2,RC6,"")</f>
        <v/>
      </c>
      <c r="RD5" s="611" t="str">
        <f t="shared" ref="RD5" ca="1" si="463">IF(WEEKDAY(RD$6)=2,RD6,"")</f>
        <v/>
      </c>
      <c r="RE5" s="611" t="str">
        <f t="shared" ref="RE5" ca="1" si="464">IF(WEEKDAY(RE$6)=2,RE6,"")</f>
        <v/>
      </c>
      <c r="RF5" s="611" t="str">
        <f t="shared" ref="RF5" ca="1" si="465">IF(WEEKDAY(RF$6)=2,RF6,"")</f>
        <v/>
      </c>
      <c r="RG5" s="611" t="str">
        <f t="shared" ref="RG5" ca="1" si="466">IF(WEEKDAY(RG$6)=2,RG6,"")</f>
        <v/>
      </c>
      <c r="RH5" s="611" t="str">
        <f t="shared" ref="RH5" ca="1" si="467">IF(WEEKDAY(RH$6)=2,RH6,"")</f>
        <v/>
      </c>
      <c r="RI5" s="611">
        <f t="shared" ref="RI5" ca="1" si="468">IF(WEEKDAY(RI$6)=2,RI6,"")</f>
        <v>41848</v>
      </c>
      <c r="RJ5" s="611" t="str">
        <f t="shared" ref="RJ5" ca="1" si="469">IF(WEEKDAY(RJ$6)=2,RJ6,"")</f>
        <v/>
      </c>
      <c r="RK5" s="611" t="str">
        <f t="shared" ref="RK5" ca="1" si="470">IF(WEEKDAY(RK$6)=2,RK6,"")</f>
        <v/>
      </c>
      <c r="RL5" s="611" t="str">
        <f t="shared" ref="RL5" ca="1" si="471">IF(WEEKDAY(RL$6)=2,RL6,"")</f>
        <v/>
      </c>
      <c r="RM5" s="611" t="str">
        <f t="shared" ref="RM5" ca="1" si="472">IF(WEEKDAY(RM$6)=2,RM6,"")</f>
        <v/>
      </c>
      <c r="RN5" s="611" t="str">
        <f t="shared" ref="RN5" ca="1" si="473">IF(WEEKDAY(RN$6)=2,RN6,"")</f>
        <v/>
      </c>
      <c r="RO5" s="611" t="str">
        <f t="shared" ref="RO5" ca="1" si="474">IF(WEEKDAY(RO$6)=2,RO6,"")</f>
        <v/>
      </c>
      <c r="RP5" s="611">
        <f t="shared" ref="RP5" ca="1" si="475">IF(WEEKDAY(RP$6)=2,RP6,"")</f>
        <v>41855</v>
      </c>
      <c r="RQ5" s="611" t="str">
        <f t="shared" ref="RQ5" ca="1" si="476">IF(WEEKDAY(RQ$6)=2,RQ6,"")</f>
        <v/>
      </c>
      <c r="RR5" s="611" t="str">
        <f t="shared" ref="RR5" ca="1" si="477">IF(WEEKDAY(RR$6)=2,RR6,"")</f>
        <v/>
      </c>
      <c r="RS5" s="611" t="str">
        <f t="shared" ref="RS5" ca="1" si="478">IF(WEEKDAY(RS$6)=2,RS6,"")</f>
        <v/>
      </c>
      <c r="RT5" s="611" t="str">
        <f t="shared" ref="RT5" ca="1" si="479">IF(WEEKDAY(RT$6)=2,RT6,"")</f>
        <v/>
      </c>
      <c r="RU5" s="611" t="str">
        <f t="shared" ref="RU5" ca="1" si="480">IF(WEEKDAY(RU$6)=2,RU6,"")</f>
        <v/>
      </c>
      <c r="RV5" s="611" t="str">
        <f t="shared" ref="RV5" ca="1" si="481">IF(WEEKDAY(RV$6)=2,RV6,"")</f>
        <v/>
      </c>
      <c r="RW5" s="611">
        <f t="shared" ref="RW5" ca="1" si="482">IF(WEEKDAY(RW$6)=2,RW6,"")</f>
        <v>41862</v>
      </c>
      <c r="RX5" s="611" t="str">
        <f t="shared" ref="RX5" ca="1" si="483">IF(WEEKDAY(RX$6)=2,RX6,"")</f>
        <v/>
      </c>
      <c r="RY5" s="611" t="str">
        <f t="shared" ref="RY5" ca="1" si="484">IF(WEEKDAY(RY$6)=2,RY6,"")</f>
        <v/>
      </c>
      <c r="RZ5" s="611" t="str">
        <f t="shared" ref="RZ5" ca="1" si="485">IF(WEEKDAY(RZ$6)=2,RZ6,"")</f>
        <v/>
      </c>
      <c r="SA5" s="611" t="str">
        <f t="shared" ref="SA5" ca="1" si="486">IF(WEEKDAY(SA$6)=2,SA6,"")</f>
        <v/>
      </c>
      <c r="SB5" s="611" t="str">
        <f t="shared" ref="SB5" ca="1" si="487">IF(WEEKDAY(SB$6)=2,SB6,"")</f>
        <v/>
      </c>
      <c r="SC5" s="611" t="str">
        <f t="shared" ref="SC5" ca="1" si="488">IF(WEEKDAY(SC$6)=2,SC6,"")</f>
        <v/>
      </c>
      <c r="SD5" s="611">
        <f t="shared" ref="SD5" ca="1" si="489">IF(WEEKDAY(SD$6)=2,SD6,"")</f>
        <v>41869</v>
      </c>
      <c r="SE5" s="611" t="str">
        <f t="shared" ref="SE5" ca="1" si="490">IF(WEEKDAY(SE$6)=2,SE6,"")</f>
        <v/>
      </c>
      <c r="SF5" s="611" t="str">
        <f t="shared" ref="SF5" ca="1" si="491">IF(WEEKDAY(SF$6)=2,SF6,"")</f>
        <v/>
      </c>
      <c r="SG5" s="611" t="str">
        <f t="shared" ref="SG5" ca="1" si="492">IF(WEEKDAY(SG$6)=2,SG6,"")</f>
        <v/>
      </c>
      <c r="SH5" s="611" t="str">
        <f t="shared" ref="SH5" ca="1" si="493">IF(WEEKDAY(SH$6)=2,SH6,"")</f>
        <v/>
      </c>
      <c r="SI5" s="611" t="str">
        <f t="shared" ref="SI5" ca="1" si="494">IF(WEEKDAY(SI$6)=2,SI6,"")</f>
        <v/>
      </c>
      <c r="SJ5" s="611" t="str">
        <f t="shared" ref="SJ5" ca="1" si="495">IF(WEEKDAY(SJ$6)=2,SJ6,"")</f>
        <v/>
      </c>
      <c r="SK5" s="611">
        <f t="shared" ref="SK5" ca="1" si="496">IF(WEEKDAY(SK$6)=2,SK6,"")</f>
        <v>41876</v>
      </c>
      <c r="SL5" s="611" t="str">
        <f t="shared" ref="SL5" ca="1" si="497">IF(WEEKDAY(SL$6)=2,SL6,"")</f>
        <v/>
      </c>
      <c r="SM5" s="611" t="str">
        <f t="shared" ref="SM5" ca="1" si="498">IF(WEEKDAY(SM$6)=2,SM6,"")</f>
        <v/>
      </c>
      <c r="SN5" s="611" t="str">
        <f t="shared" ref="SN5" ca="1" si="499">IF(WEEKDAY(SN$6)=2,SN6,"")</f>
        <v/>
      </c>
      <c r="SO5" s="611" t="str">
        <f t="shared" ref="SO5" ca="1" si="500">IF(WEEKDAY(SO$6)=2,SO6,"")</f>
        <v/>
      </c>
      <c r="SP5" s="611" t="str">
        <f t="shared" ref="SP5" ca="1" si="501">IF(WEEKDAY(SP$6)=2,SP6,"")</f>
        <v/>
      </c>
      <c r="SQ5" s="611" t="str">
        <f t="shared" ref="SQ5" ca="1" si="502">IF(WEEKDAY(SQ$6)=2,SQ6,"")</f>
        <v/>
      </c>
      <c r="SR5" s="611">
        <f t="shared" ref="SR5" ca="1" si="503">IF(WEEKDAY(SR$6)=2,SR6,"")</f>
        <v>41883</v>
      </c>
      <c r="SS5" s="611" t="str">
        <f t="shared" ref="SS5" ca="1" si="504">IF(WEEKDAY(SS$6)=2,SS6,"")</f>
        <v/>
      </c>
      <c r="ST5" s="611" t="str">
        <f t="shared" ref="ST5" ca="1" si="505">IF(WEEKDAY(ST$6)=2,ST6,"")</f>
        <v/>
      </c>
      <c r="SU5" s="611" t="str">
        <f t="shared" ref="SU5" ca="1" si="506">IF(WEEKDAY(SU$6)=2,SU6,"")</f>
        <v/>
      </c>
      <c r="SV5" s="611" t="str">
        <f t="shared" ref="SV5" ca="1" si="507">IF(WEEKDAY(SV$6)=2,SV6,"")</f>
        <v/>
      </c>
      <c r="SW5" s="611" t="str">
        <f t="shared" ref="SW5" ca="1" si="508">IF(WEEKDAY(SW$6)=2,SW6,"")</f>
        <v/>
      </c>
      <c r="SX5" s="611" t="str">
        <f t="shared" ref="SX5" ca="1" si="509">IF(WEEKDAY(SX$6)=2,SX6,"")</f>
        <v/>
      </c>
      <c r="SY5" s="611">
        <f t="shared" ref="SY5" ca="1" si="510">IF(WEEKDAY(SY$6)=2,SY6,"")</f>
        <v>41890</v>
      </c>
      <c r="SZ5" s="611" t="str">
        <f t="shared" ref="SZ5" ca="1" si="511">IF(WEEKDAY(SZ$6)=2,SZ6,"")</f>
        <v/>
      </c>
      <c r="TA5" s="611" t="str">
        <f t="shared" ref="TA5" ca="1" si="512">IF(WEEKDAY(TA$6)=2,TA6,"")</f>
        <v/>
      </c>
      <c r="TB5" s="611" t="str">
        <f t="shared" ref="TB5" ca="1" si="513">IF(WEEKDAY(TB$6)=2,TB6,"")</f>
        <v/>
      </c>
      <c r="TC5" s="611" t="str">
        <f t="shared" ref="TC5" ca="1" si="514">IF(WEEKDAY(TC$6)=2,TC6,"")</f>
        <v/>
      </c>
      <c r="TD5" s="611" t="str">
        <f t="shared" ref="TD5" ca="1" si="515">IF(WEEKDAY(TD$6)=2,TD6,"")</f>
        <v/>
      </c>
      <c r="TE5" s="611" t="str">
        <f t="shared" ref="TE5" ca="1" si="516">IF(WEEKDAY(TE$6)=2,TE6,"")</f>
        <v/>
      </c>
      <c r="TF5" s="611">
        <f t="shared" ref="TF5" ca="1" si="517">IF(WEEKDAY(TF$6)=2,TF6,"")</f>
        <v>41897</v>
      </c>
      <c r="TG5" s="611" t="str">
        <f t="shared" ref="TG5" ca="1" si="518">IF(WEEKDAY(TG$6)=2,TG6,"")</f>
        <v/>
      </c>
      <c r="TH5" s="611" t="str">
        <f t="shared" ref="TH5" ca="1" si="519">IF(WEEKDAY(TH$6)=2,TH6,"")</f>
        <v/>
      </c>
      <c r="TI5" s="611" t="str">
        <f t="shared" ref="TI5" ca="1" si="520">IF(WEEKDAY(TI$6)=2,TI6,"")</f>
        <v/>
      </c>
      <c r="TJ5" s="611" t="str">
        <f t="shared" ref="TJ5" ca="1" si="521">IF(WEEKDAY(TJ$6)=2,TJ6,"")</f>
        <v/>
      </c>
      <c r="TK5" s="611" t="str">
        <f t="shared" ref="TK5" ca="1" si="522">IF(WEEKDAY(TK$6)=2,TK6,"")</f>
        <v/>
      </c>
      <c r="TL5" s="611" t="str">
        <f t="shared" ref="TL5" ca="1" si="523">IF(WEEKDAY(TL$6)=2,TL6,"")</f>
        <v/>
      </c>
      <c r="TM5" s="611">
        <f t="shared" ref="TM5" ca="1" si="524">IF(WEEKDAY(TM$6)=2,TM6,"")</f>
        <v>41904</v>
      </c>
      <c r="TN5" s="611" t="str">
        <f t="shared" ref="TN5" ca="1" si="525">IF(WEEKDAY(TN$6)=2,TN6,"")</f>
        <v/>
      </c>
      <c r="TO5" s="611" t="str">
        <f t="shared" ref="TO5" ca="1" si="526">IF(WEEKDAY(TO$6)=2,TO6,"")</f>
        <v/>
      </c>
      <c r="TP5" s="611" t="str">
        <f t="shared" ref="TP5" ca="1" si="527">IF(WEEKDAY(TP$6)=2,TP6,"")</f>
        <v/>
      </c>
      <c r="TQ5" s="611" t="str">
        <f t="shared" ref="TQ5" ca="1" si="528">IF(WEEKDAY(TQ$6)=2,TQ6,"")</f>
        <v/>
      </c>
      <c r="TR5" s="611" t="str">
        <f t="shared" ref="TR5" ca="1" si="529">IF(WEEKDAY(TR$6)=2,TR6,"")</f>
        <v/>
      </c>
      <c r="TS5" s="611" t="str">
        <f t="shared" ref="TS5" ca="1" si="530">IF(WEEKDAY(TS$6)=2,TS6,"")</f>
        <v/>
      </c>
      <c r="TT5" s="611">
        <f t="shared" ref="TT5" ca="1" si="531">IF(WEEKDAY(TT$6)=2,TT6,"")</f>
        <v>41911</v>
      </c>
      <c r="TU5" s="611" t="str">
        <f t="shared" ref="TU5" ca="1" si="532">IF(WEEKDAY(TU$6)=2,TU6,"")</f>
        <v/>
      </c>
      <c r="TV5" s="611" t="str">
        <f t="shared" ref="TV5" ca="1" si="533">IF(WEEKDAY(TV$6)=2,TV6,"")</f>
        <v/>
      </c>
      <c r="TW5" s="611" t="str">
        <f t="shared" ref="TW5" ca="1" si="534">IF(WEEKDAY(TW$6)=2,TW6,"")</f>
        <v/>
      </c>
      <c r="TX5" s="611" t="str">
        <f t="shared" ref="TX5" ca="1" si="535">IF(WEEKDAY(TX$6)=2,TX6,"")</f>
        <v/>
      </c>
      <c r="TY5" s="611" t="str">
        <f t="shared" ref="TY5" ca="1" si="536">IF(WEEKDAY(TY$6)=2,TY6,"")</f>
        <v/>
      </c>
      <c r="TZ5" s="611" t="str">
        <f t="shared" ref="TZ5" ca="1" si="537">IF(WEEKDAY(TZ$6)=2,TZ6,"")</f>
        <v/>
      </c>
      <c r="UA5" s="611">
        <f t="shared" ref="UA5" ca="1" si="538">IF(WEEKDAY(UA$6)=2,UA6,"")</f>
        <v>41918</v>
      </c>
      <c r="UB5" s="611" t="str">
        <f t="shared" ref="UB5" ca="1" si="539">IF(WEEKDAY(UB$6)=2,UB6,"")</f>
        <v/>
      </c>
      <c r="UC5" s="611" t="str">
        <f t="shared" ref="UC5" ca="1" si="540">IF(WEEKDAY(UC$6)=2,UC6,"")</f>
        <v/>
      </c>
      <c r="UD5" s="611" t="str">
        <f t="shared" ref="UD5" ca="1" si="541">IF(WEEKDAY(UD$6)=2,UD6,"")</f>
        <v/>
      </c>
      <c r="UE5" s="611" t="str">
        <f t="shared" ref="UE5" ca="1" si="542">IF(WEEKDAY(UE$6)=2,UE6,"")</f>
        <v/>
      </c>
      <c r="UF5" s="611" t="str">
        <f t="shared" ref="UF5" ca="1" si="543">IF(WEEKDAY(UF$6)=2,UF6,"")</f>
        <v/>
      </c>
      <c r="UG5" s="611" t="str">
        <f t="shared" ref="UG5" ca="1" si="544">IF(WEEKDAY(UG$6)=2,UG6,"")</f>
        <v/>
      </c>
      <c r="UH5" s="611">
        <f t="shared" ref="UH5" ca="1" si="545">IF(WEEKDAY(UH$6)=2,UH6,"")</f>
        <v>41925</v>
      </c>
      <c r="UI5" s="611" t="str">
        <f t="shared" ref="UI5" ca="1" si="546">IF(WEEKDAY(UI$6)=2,UI6,"")</f>
        <v/>
      </c>
      <c r="UJ5" s="611" t="str">
        <f t="shared" ref="UJ5" ca="1" si="547">IF(WEEKDAY(UJ$6)=2,UJ6,"")</f>
        <v/>
      </c>
      <c r="UK5" s="611" t="str">
        <f t="shared" ref="UK5" ca="1" si="548">IF(WEEKDAY(UK$6)=2,UK6,"")</f>
        <v/>
      </c>
      <c r="UL5" s="611" t="str">
        <f t="shared" ref="UL5" ca="1" si="549">IF(WEEKDAY(UL$6)=2,UL6,"")</f>
        <v/>
      </c>
      <c r="UM5" s="611" t="str">
        <f t="shared" ref="UM5" ca="1" si="550">IF(WEEKDAY(UM$6)=2,UM6,"")</f>
        <v/>
      </c>
      <c r="UN5" s="611" t="str">
        <f t="shared" ref="UN5" ca="1" si="551">IF(WEEKDAY(UN$6)=2,UN6,"")</f>
        <v/>
      </c>
      <c r="UO5" s="611">
        <f t="shared" ref="UO5" ca="1" si="552">IF(WEEKDAY(UO$6)=2,UO6,"")</f>
        <v>41932</v>
      </c>
      <c r="UP5" s="611" t="str">
        <f t="shared" ref="UP5" ca="1" si="553">IF(WEEKDAY(UP$6)=2,UP6,"")</f>
        <v/>
      </c>
      <c r="UQ5" s="611" t="str">
        <f t="shared" ref="UQ5" ca="1" si="554">IF(WEEKDAY(UQ$6)=2,UQ6,"")</f>
        <v/>
      </c>
      <c r="UR5" s="611" t="str">
        <f t="shared" ref="UR5" ca="1" si="555">IF(WEEKDAY(UR$6)=2,UR6,"")</f>
        <v/>
      </c>
      <c r="US5" s="611" t="str">
        <f t="shared" ref="US5" ca="1" si="556">IF(WEEKDAY(US$6)=2,US6,"")</f>
        <v/>
      </c>
      <c r="UT5" s="611" t="str">
        <f t="shared" ref="UT5" ca="1" si="557">IF(WEEKDAY(UT$6)=2,UT6,"")</f>
        <v/>
      </c>
      <c r="UU5" s="611" t="str">
        <f t="shared" ref="UU5" ca="1" si="558">IF(WEEKDAY(UU$6)=2,UU6,"")</f>
        <v/>
      </c>
      <c r="UV5" s="611">
        <f t="shared" ref="UV5" ca="1" si="559">IF(WEEKDAY(UV$6)=2,UV6,"")</f>
        <v>41939</v>
      </c>
      <c r="UW5" s="611" t="str">
        <f t="shared" ref="UW5" ca="1" si="560">IF(WEEKDAY(UW$6)=2,UW6,"")</f>
        <v/>
      </c>
      <c r="UX5" s="611" t="str">
        <f t="shared" ref="UX5" ca="1" si="561">IF(WEEKDAY(UX$6)=2,UX6,"")</f>
        <v/>
      </c>
      <c r="UY5" s="611" t="str">
        <f t="shared" ref="UY5" ca="1" si="562">IF(WEEKDAY(UY$6)=2,UY6,"")</f>
        <v/>
      </c>
      <c r="UZ5" s="611" t="str">
        <f t="shared" ref="UZ5" ca="1" si="563">IF(WEEKDAY(UZ$6)=2,UZ6,"")</f>
        <v/>
      </c>
      <c r="VA5" s="611" t="str">
        <f t="shared" ref="VA5" ca="1" si="564">IF(WEEKDAY(VA$6)=2,VA6,"")</f>
        <v/>
      </c>
      <c r="VB5" s="611" t="str">
        <f t="shared" ref="VB5" ca="1" si="565">IF(WEEKDAY(VB$6)=2,VB6,"")</f>
        <v/>
      </c>
      <c r="VC5" s="611">
        <f t="shared" ref="VC5" ca="1" si="566">IF(WEEKDAY(VC$6)=2,VC6,"")</f>
        <v>41946</v>
      </c>
      <c r="VD5" s="611" t="str">
        <f t="shared" ref="VD5" ca="1" si="567">IF(WEEKDAY(VD$6)=2,VD6,"")</f>
        <v/>
      </c>
      <c r="VE5" s="611" t="str">
        <f t="shared" ref="VE5" ca="1" si="568">IF(WEEKDAY(VE$6)=2,VE6,"")</f>
        <v/>
      </c>
      <c r="VF5" s="611" t="str">
        <f t="shared" ref="VF5" ca="1" si="569">IF(WEEKDAY(VF$6)=2,VF6,"")</f>
        <v/>
      </c>
      <c r="VG5" s="611" t="str">
        <f t="shared" ref="VG5" ca="1" si="570">IF(WEEKDAY(VG$6)=2,VG6,"")</f>
        <v/>
      </c>
      <c r="VH5" s="611" t="str">
        <f t="shared" ref="VH5" ca="1" si="571">IF(WEEKDAY(VH$6)=2,VH6,"")</f>
        <v/>
      </c>
      <c r="VI5" s="611" t="str">
        <f t="shared" ref="VI5" ca="1" si="572">IF(WEEKDAY(VI$6)=2,VI6,"")</f>
        <v/>
      </c>
      <c r="VJ5" s="611">
        <f t="shared" ref="VJ5" ca="1" si="573">IF(WEEKDAY(VJ$6)=2,VJ6,"")</f>
        <v>41953</v>
      </c>
      <c r="VK5" s="611" t="str">
        <f t="shared" ref="VK5" ca="1" si="574">IF(WEEKDAY(VK$6)=2,VK6,"")</f>
        <v/>
      </c>
      <c r="VL5" s="611" t="str">
        <f t="shared" ref="VL5" ca="1" si="575">IF(WEEKDAY(VL$6)=2,VL6,"")</f>
        <v/>
      </c>
      <c r="VM5" s="611" t="str">
        <f t="shared" ref="VM5" ca="1" si="576">IF(WEEKDAY(VM$6)=2,VM6,"")</f>
        <v/>
      </c>
      <c r="VN5" s="611" t="str">
        <f t="shared" ref="VN5" ca="1" si="577">IF(WEEKDAY(VN$6)=2,VN6,"")</f>
        <v/>
      </c>
      <c r="VO5" s="611" t="str">
        <f t="shared" ref="VO5" ca="1" si="578">IF(WEEKDAY(VO$6)=2,VO6,"")</f>
        <v/>
      </c>
      <c r="VP5" s="611" t="str">
        <f t="shared" ref="VP5" ca="1" si="579">IF(WEEKDAY(VP$6)=2,VP6,"")</f>
        <v/>
      </c>
      <c r="VQ5" s="611">
        <f t="shared" ref="VQ5" ca="1" si="580">IF(WEEKDAY(VQ$6)=2,VQ6,"")</f>
        <v>41960</v>
      </c>
      <c r="VR5" s="611" t="str">
        <f t="shared" ref="VR5" ca="1" si="581">IF(WEEKDAY(VR$6)=2,VR6,"")</f>
        <v/>
      </c>
      <c r="VS5" s="611" t="str">
        <f t="shared" ref="VS5" ca="1" si="582">IF(WEEKDAY(VS$6)=2,VS6,"")</f>
        <v/>
      </c>
      <c r="VT5" s="611" t="str">
        <f t="shared" ref="VT5" ca="1" si="583">IF(WEEKDAY(VT$6)=2,VT6,"")</f>
        <v/>
      </c>
      <c r="VU5" s="611" t="str">
        <f t="shared" ref="VU5" ca="1" si="584">IF(WEEKDAY(VU$6)=2,VU6,"")</f>
        <v/>
      </c>
      <c r="VV5" s="611" t="str">
        <f t="shared" ref="VV5" ca="1" si="585">IF(WEEKDAY(VV$6)=2,VV6,"")</f>
        <v/>
      </c>
      <c r="VW5" s="611" t="str">
        <f t="shared" ref="VW5" ca="1" si="586">IF(WEEKDAY(VW$6)=2,VW6,"")</f>
        <v/>
      </c>
      <c r="VX5" s="611">
        <f t="shared" ref="VX5" ca="1" si="587">IF(WEEKDAY(VX$6)=2,VX6,"")</f>
        <v>41967</v>
      </c>
      <c r="VY5" s="611" t="str">
        <f t="shared" ref="VY5" ca="1" si="588">IF(WEEKDAY(VY$6)=2,VY6,"")</f>
        <v/>
      </c>
      <c r="VZ5" s="611" t="str">
        <f t="shared" ref="VZ5" ca="1" si="589">IF(WEEKDAY(VZ$6)=2,VZ6,"")</f>
        <v/>
      </c>
      <c r="WA5" s="611" t="str">
        <f t="shared" ref="WA5" ca="1" si="590">IF(WEEKDAY(WA$6)=2,WA6,"")</f>
        <v/>
      </c>
      <c r="WB5" s="611" t="str">
        <f t="shared" ref="WB5" ca="1" si="591">IF(WEEKDAY(WB$6)=2,WB6,"")</f>
        <v/>
      </c>
      <c r="WC5" s="611" t="str">
        <f t="shared" ref="WC5" ca="1" si="592">IF(WEEKDAY(WC$6)=2,WC6,"")</f>
        <v/>
      </c>
      <c r="WD5" s="611" t="str">
        <f t="shared" ref="WD5" ca="1" si="593">IF(WEEKDAY(WD$6)=2,WD6,"")</f>
        <v/>
      </c>
      <c r="WE5" s="611">
        <f t="shared" ref="WE5" ca="1" si="594">IF(WEEKDAY(WE$6)=2,WE6,"")</f>
        <v>41974</v>
      </c>
      <c r="WF5" s="611" t="str">
        <f t="shared" ref="WF5" ca="1" si="595">IF(WEEKDAY(WF$6)=2,WF6,"")</f>
        <v/>
      </c>
      <c r="WG5" s="611" t="str">
        <f t="shared" ref="WG5" ca="1" si="596">IF(WEEKDAY(WG$6)=2,WG6,"")</f>
        <v/>
      </c>
      <c r="WH5" s="611" t="str">
        <f t="shared" ref="WH5" ca="1" si="597">IF(WEEKDAY(WH$6)=2,WH6,"")</f>
        <v/>
      </c>
      <c r="WI5" s="611" t="str">
        <f t="shared" ref="WI5" ca="1" si="598">IF(WEEKDAY(WI$6)=2,WI6,"")</f>
        <v/>
      </c>
      <c r="WJ5" s="611" t="str">
        <f t="shared" ref="WJ5" ca="1" si="599">IF(WEEKDAY(WJ$6)=2,WJ6,"")</f>
        <v/>
      </c>
      <c r="WK5" s="611" t="str">
        <f t="shared" ref="WK5" ca="1" si="600">IF(WEEKDAY(WK$6)=2,WK6,"")</f>
        <v/>
      </c>
      <c r="WL5" s="611">
        <f t="shared" ref="WL5" ca="1" si="601">IF(WEEKDAY(WL$6)=2,WL6,"")</f>
        <v>41981</v>
      </c>
      <c r="WM5" s="611" t="str">
        <f t="shared" ref="WM5" ca="1" si="602">IF(WEEKDAY(WM$6)=2,WM6,"")</f>
        <v/>
      </c>
      <c r="WN5" s="611" t="str">
        <f t="shared" ref="WN5" ca="1" si="603">IF(WEEKDAY(WN$6)=2,WN6,"")</f>
        <v/>
      </c>
      <c r="WO5" s="611" t="str">
        <f t="shared" ref="WO5" ca="1" si="604">IF(WEEKDAY(WO$6)=2,WO6,"")</f>
        <v/>
      </c>
      <c r="WP5" s="611" t="str">
        <f t="shared" ref="WP5" ca="1" si="605">IF(WEEKDAY(WP$6)=2,WP6,"")</f>
        <v/>
      </c>
      <c r="WQ5" s="611" t="str">
        <f t="shared" ref="WQ5" ca="1" si="606">IF(WEEKDAY(WQ$6)=2,WQ6,"")</f>
        <v/>
      </c>
      <c r="WR5" s="611" t="str">
        <f t="shared" ref="WR5" ca="1" si="607">IF(WEEKDAY(WR$6)=2,WR6,"")</f>
        <v/>
      </c>
      <c r="WS5" s="611">
        <f t="shared" ref="WS5" ca="1" si="608">IF(WEEKDAY(WS$6)=2,WS6,"")</f>
        <v>41988</v>
      </c>
      <c r="WT5" s="611" t="str">
        <f t="shared" ref="WT5" ca="1" si="609">IF(WEEKDAY(WT$6)=2,WT6,"")</f>
        <v/>
      </c>
      <c r="WU5" s="611" t="str">
        <f t="shared" ref="WU5" ca="1" si="610">IF(WEEKDAY(WU$6)=2,WU6,"")</f>
        <v/>
      </c>
      <c r="WV5" s="611" t="str">
        <f t="shared" ref="WV5" ca="1" si="611">IF(WEEKDAY(WV$6)=2,WV6,"")</f>
        <v/>
      </c>
      <c r="WW5" s="611" t="str">
        <f t="shared" ref="WW5" ca="1" si="612">IF(WEEKDAY(WW$6)=2,WW6,"")</f>
        <v/>
      </c>
      <c r="WX5" s="611" t="str">
        <f t="shared" ref="WX5" ca="1" si="613">IF(WEEKDAY(WX$6)=2,WX6,"")</f>
        <v/>
      </c>
      <c r="WY5" s="611" t="str">
        <f t="shared" ref="WY5" ca="1" si="614">IF(WEEKDAY(WY$6)=2,WY6,"")</f>
        <v/>
      </c>
      <c r="WZ5" s="611">
        <f t="shared" ref="WZ5" ca="1" si="615">IF(WEEKDAY(WZ$6)=2,WZ6,"")</f>
        <v>41995</v>
      </c>
      <c r="XA5" s="611" t="str">
        <f t="shared" ref="XA5" ca="1" si="616">IF(WEEKDAY(XA$6)=2,XA6,"")</f>
        <v/>
      </c>
      <c r="XB5" s="611" t="str">
        <f t="shared" ref="XB5" ca="1" si="617">IF(WEEKDAY(XB$6)=2,XB6,"")</f>
        <v/>
      </c>
      <c r="XC5" s="611" t="str">
        <f t="shared" ref="XC5" ca="1" si="618">IF(WEEKDAY(XC$6)=2,XC6,"")</f>
        <v/>
      </c>
      <c r="XD5" s="611" t="str">
        <f t="shared" ref="XD5" ca="1" si="619">IF(WEEKDAY(XD$6)=2,XD6,"")</f>
        <v/>
      </c>
      <c r="XE5" s="611" t="str">
        <f t="shared" ref="XE5" ca="1" si="620">IF(WEEKDAY(XE$6)=2,XE6,"")</f>
        <v/>
      </c>
      <c r="XF5" s="611" t="str">
        <f t="shared" ref="XF5" ca="1" si="621">IF(WEEKDAY(XF$6)=2,XF6,"")</f>
        <v/>
      </c>
      <c r="XG5" s="611">
        <f t="shared" ref="XG5" ca="1" si="622">IF(WEEKDAY(XG$6)=2,XG6,"")</f>
        <v>42002</v>
      </c>
      <c r="XH5" s="611" t="str">
        <f t="shared" ref="XH5" ca="1" si="623">IF(WEEKDAY(XH$6)=2,XH6,"")</f>
        <v/>
      </c>
      <c r="XI5" s="611" t="str">
        <f t="shared" ref="XI5" ca="1" si="624">IF(WEEKDAY(XI$6)=2,XI6,"")</f>
        <v/>
      </c>
      <c r="XJ5" s="611" t="str">
        <f t="shared" ref="XJ5" ca="1" si="625">IF(WEEKDAY(XJ$6)=2,XJ6,"")</f>
        <v/>
      </c>
      <c r="XK5" s="611" t="str">
        <f t="shared" ref="XK5" ca="1" si="626">IF(WEEKDAY(XK$6)=2,XK6,"")</f>
        <v/>
      </c>
      <c r="XL5" s="611" t="str">
        <f t="shared" ref="XL5" ca="1" si="627">IF(WEEKDAY(XL$6)=2,XL6,"")</f>
        <v/>
      </c>
      <c r="XM5" s="611" t="str">
        <f t="shared" ref="XM5" ca="1" si="628">IF(WEEKDAY(XM$6)=2,XM6,"")</f>
        <v/>
      </c>
      <c r="XN5" s="611">
        <f t="shared" ref="XN5" ca="1" si="629">IF(WEEKDAY(XN$6)=2,XN6,"")</f>
        <v>42009</v>
      </c>
      <c r="XO5" s="611" t="str">
        <f t="shared" ref="XO5" ca="1" si="630">IF(WEEKDAY(XO$6)=2,XO6,"")</f>
        <v/>
      </c>
      <c r="XP5" s="611" t="str">
        <f t="shared" ref="XP5" ca="1" si="631">IF(WEEKDAY(XP$6)=2,XP6,"")</f>
        <v/>
      </c>
      <c r="XQ5" s="611" t="str">
        <f t="shared" ref="XQ5" ca="1" si="632">IF(WEEKDAY(XQ$6)=2,XQ6,"")</f>
        <v/>
      </c>
      <c r="XR5" s="611" t="str">
        <f t="shared" ref="XR5" ca="1" si="633">IF(WEEKDAY(XR$6)=2,XR6,"")</f>
        <v/>
      </c>
      <c r="XS5" s="611" t="str">
        <f t="shared" ref="XS5" ca="1" si="634">IF(WEEKDAY(XS$6)=2,XS6,"")</f>
        <v/>
      </c>
      <c r="XT5" s="611" t="str">
        <f t="shared" ref="XT5" ca="1" si="635">IF(WEEKDAY(XT$6)=2,XT6,"")</f>
        <v/>
      </c>
      <c r="XU5" s="611">
        <f t="shared" ref="XU5" ca="1" si="636">IF(WEEKDAY(XU$6)=2,XU6,"")</f>
        <v>42016</v>
      </c>
      <c r="XV5" s="611" t="str">
        <f t="shared" ref="XV5" ca="1" si="637">IF(WEEKDAY(XV$6)=2,XV6,"")</f>
        <v/>
      </c>
      <c r="XW5" s="611" t="str">
        <f t="shared" ref="XW5" ca="1" si="638">IF(WEEKDAY(XW$6)=2,XW6,"")</f>
        <v/>
      </c>
      <c r="XX5" s="611" t="str">
        <f t="shared" ref="XX5" ca="1" si="639">IF(WEEKDAY(XX$6)=2,XX6,"")</f>
        <v/>
      </c>
      <c r="XY5" s="611" t="str">
        <f t="shared" ref="XY5" ca="1" si="640">IF(WEEKDAY(XY$6)=2,XY6,"")</f>
        <v/>
      </c>
      <c r="XZ5" s="611" t="str">
        <f t="shared" ref="XZ5" ca="1" si="641">IF(WEEKDAY(XZ$6)=2,XZ6,"")</f>
        <v/>
      </c>
      <c r="YA5" s="611" t="str">
        <f t="shared" ref="YA5" ca="1" si="642">IF(WEEKDAY(YA$6)=2,YA6,"")</f>
        <v/>
      </c>
      <c r="YB5" s="611">
        <f t="shared" ref="YB5" ca="1" si="643">IF(WEEKDAY(YB$6)=2,YB6,"")</f>
        <v>42023</v>
      </c>
      <c r="YC5" s="611" t="str">
        <f t="shared" ref="YC5" ca="1" si="644">IF(WEEKDAY(YC$6)=2,YC6,"")</f>
        <v/>
      </c>
      <c r="YD5" s="611" t="str">
        <f t="shared" ref="YD5" ca="1" si="645">IF(WEEKDAY(YD$6)=2,YD6,"")</f>
        <v/>
      </c>
      <c r="YE5" s="611" t="str">
        <f t="shared" ref="YE5" ca="1" si="646">IF(WEEKDAY(YE$6)=2,YE6,"")</f>
        <v/>
      </c>
      <c r="YF5" s="611" t="str">
        <f t="shared" ref="YF5" ca="1" si="647">IF(WEEKDAY(YF$6)=2,YF6,"")</f>
        <v/>
      </c>
      <c r="YG5" s="611" t="str">
        <f t="shared" ref="YG5" ca="1" si="648">IF(WEEKDAY(YG$6)=2,YG6,"")</f>
        <v/>
      </c>
      <c r="YH5" s="611" t="str">
        <f t="shared" ref="YH5" ca="1" si="649">IF(WEEKDAY(YH$6)=2,YH6,"")</f>
        <v/>
      </c>
      <c r="YI5" s="611">
        <f t="shared" ref="YI5" ca="1" si="650">IF(WEEKDAY(YI$6)=2,YI6,"")</f>
        <v>42030</v>
      </c>
      <c r="YJ5" s="611" t="str">
        <f t="shared" ref="YJ5" ca="1" si="651">IF(WEEKDAY(YJ$6)=2,YJ6,"")</f>
        <v/>
      </c>
      <c r="YK5" s="611" t="str">
        <f t="shared" ref="YK5" ca="1" si="652">IF(WEEKDAY(YK$6)=2,YK6,"")</f>
        <v/>
      </c>
      <c r="YL5" s="611" t="str">
        <f t="shared" ref="YL5" ca="1" si="653">IF(WEEKDAY(YL$6)=2,YL6,"")</f>
        <v/>
      </c>
      <c r="YM5" s="611" t="str">
        <f t="shared" ref="YM5" ca="1" si="654">IF(WEEKDAY(YM$6)=2,YM6,"")</f>
        <v/>
      </c>
      <c r="YN5" s="611" t="str">
        <f t="shared" ref="YN5" ca="1" si="655">IF(WEEKDAY(YN$6)=2,YN6,"")</f>
        <v/>
      </c>
      <c r="YO5" s="611" t="str">
        <f t="shared" ref="YO5" ca="1" si="656">IF(WEEKDAY(YO$6)=2,YO6,"")</f>
        <v/>
      </c>
      <c r="YP5" s="611">
        <f t="shared" ref="YP5" ca="1" si="657">IF(WEEKDAY(YP$6)=2,YP6,"")</f>
        <v>42037</v>
      </c>
      <c r="YQ5" s="611" t="str">
        <f t="shared" ref="YQ5" ca="1" si="658">IF(WEEKDAY(YQ$6)=2,YQ6,"")</f>
        <v/>
      </c>
      <c r="YR5" s="611" t="str">
        <f t="shared" ref="YR5" ca="1" si="659">IF(WEEKDAY(YR$6)=2,YR6,"")</f>
        <v/>
      </c>
      <c r="YS5" s="611" t="str">
        <f t="shared" ref="YS5" ca="1" si="660">IF(WEEKDAY(YS$6)=2,YS6,"")</f>
        <v/>
      </c>
      <c r="YT5" s="611" t="str">
        <f t="shared" ref="YT5" ca="1" si="661">IF(WEEKDAY(YT$6)=2,YT6,"")</f>
        <v/>
      </c>
      <c r="YU5" s="611" t="str">
        <f t="shared" ref="YU5" ca="1" si="662">IF(WEEKDAY(YU$6)=2,YU6,"")</f>
        <v/>
      </c>
      <c r="YV5" s="611" t="str">
        <f t="shared" ref="YV5" ca="1" si="663">IF(WEEKDAY(YV$6)=2,YV6,"")</f>
        <v/>
      </c>
      <c r="YW5" s="611">
        <f t="shared" ref="YW5" ca="1" si="664">IF(WEEKDAY(YW$6)=2,YW6,"")</f>
        <v>42044</v>
      </c>
      <c r="YX5" s="611" t="str">
        <f t="shared" ref="YX5" ca="1" si="665">IF(WEEKDAY(YX$6)=2,YX6,"")</f>
        <v/>
      </c>
      <c r="YY5" s="611" t="str">
        <f t="shared" ref="YY5" ca="1" si="666">IF(WEEKDAY(YY$6)=2,YY6,"")</f>
        <v/>
      </c>
      <c r="YZ5" s="611" t="str">
        <f t="shared" ref="YZ5" ca="1" si="667">IF(WEEKDAY(YZ$6)=2,YZ6,"")</f>
        <v/>
      </c>
      <c r="ZA5" s="611" t="str">
        <f t="shared" ref="ZA5" ca="1" si="668">IF(WEEKDAY(ZA$6)=2,ZA6,"")</f>
        <v/>
      </c>
      <c r="ZB5" s="611" t="str">
        <f t="shared" ref="ZB5" ca="1" si="669">IF(WEEKDAY(ZB$6)=2,ZB6,"")</f>
        <v/>
      </c>
      <c r="ZC5" s="611" t="str">
        <f t="shared" ref="ZC5" ca="1" si="670">IF(WEEKDAY(ZC$6)=2,ZC6,"")</f>
        <v/>
      </c>
      <c r="ZD5" s="611">
        <f t="shared" ref="ZD5" ca="1" si="671">IF(WEEKDAY(ZD$6)=2,ZD6,"")</f>
        <v>42051</v>
      </c>
      <c r="ZE5" s="611" t="str">
        <f t="shared" ref="ZE5" ca="1" si="672">IF(WEEKDAY(ZE$6)=2,ZE6,"")</f>
        <v/>
      </c>
      <c r="ZF5" s="611" t="str">
        <f t="shared" ref="ZF5" ca="1" si="673">IF(WEEKDAY(ZF$6)=2,ZF6,"")</f>
        <v/>
      </c>
      <c r="ZG5" s="611" t="str">
        <f t="shared" ref="ZG5" ca="1" si="674">IF(WEEKDAY(ZG$6)=2,ZG6,"")</f>
        <v/>
      </c>
      <c r="ZH5" s="611" t="str">
        <f t="shared" ref="ZH5" ca="1" si="675">IF(WEEKDAY(ZH$6)=2,ZH6,"")</f>
        <v/>
      </c>
      <c r="ZI5" s="611" t="str">
        <f t="shared" ref="ZI5" ca="1" si="676">IF(WEEKDAY(ZI$6)=2,ZI6,"")</f>
        <v/>
      </c>
      <c r="ZJ5" s="611" t="str">
        <f t="shared" ref="ZJ5" ca="1" si="677">IF(WEEKDAY(ZJ$6)=2,ZJ6,"")</f>
        <v/>
      </c>
      <c r="ZK5" s="611">
        <f t="shared" ref="ZK5" ca="1" si="678">IF(WEEKDAY(ZK$6)=2,ZK6,"")</f>
        <v>42058</v>
      </c>
      <c r="ZL5" s="611" t="str">
        <f t="shared" ref="ZL5" ca="1" si="679">IF(WEEKDAY(ZL$6)=2,ZL6,"")</f>
        <v/>
      </c>
      <c r="ZM5" s="611" t="str">
        <f t="shared" ref="ZM5" ca="1" si="680">IF(WEEKDAY(ZM$6)=2,ZM6,"")</f>
        <v/>
      </c>
      <c r="ZN5" s="611" t="str">
        <f t="shared" ref="ZN5" ca="1" si="681">IF(WEEKDAY(ZN$6)=2,ZN6,"")</f>
        <v/>
      </c>
      <c r="ZO5" s="611" t="str">
        <f t="shared" ref="ZO5" ca="1" si="682">IF(WEEKDAY(ZO$6)=2,ZO6,"")</f>
        <v/>
      </c>
      <c r="ZP5" s="611" t="str">
        <f t="shared" ref="ZP5" ca="1" si="683">IF(WEEKDAY(ZP$6)=2,ZP6,"")</f>
        <v/>
      </c>
      <c r="ZQ5" s="611" t="str">
        <f t="shared" ref="ZQ5" ca="1" si="684">IF(WEEKDAY(ZQ$6)=2,ZQ6,"")</f>
        <v/>
      </c>
      <c r="ZR5" s="611">
        <f t="shared" ref="ZR5" ca="1" si="685">IF(WEEKDAY(ZR$6)=2,ZR6,"")</f>
        <v>42065</v>
      </c>
      <c r="ZS5" s="611" t="str">
        <f t="shared" ref="ZS5" ca="1" si="686">IF(WEEKDAY(ZS$6)=2,ZS6,"")</f>
        <v/>
      </c>
      <c r="ZT5" s="611" t="str">
        <f t="shared" ref="ZT5" ca="1" si="687">IF(WEEKDAY(ZT$6)=2,ZT6,"")</f>
        <v/>
      </c>
      <c r="ZU5" s="611" t="str">
        <f t="shared" ref="ZU5" ca="1" si="688">IF(WEEKDAY(ZU$6)=2,ZU6,"")</f>
        <v/>
      </c>
      <c r="ZV5" s="611" t="str">
        <f t="shared" ref="ZV5" ca="1" si="689">IF(WEEKDAY(ZV$6)=2,ZV6,"")</f>
        <v/>
      </c>
      <c r="ZW5" s="611" t="str">
        <f t="shared" ref="ZW5" ca="1" si="690">IF(WEEKDAY(ZW$6)=2,ZW6,"")</f>
        <v/>
      </c>
      <c r="ZX5" s="611" t="str">
        <f t="shared" ref="ZX5" ca="1" si="691">IF(WEEKDAY(ZX$6)=2,ZX6,"")</f>
        <v/>
      </c>
      <c r="ZY5" s="611">
        <f t="shared" ref="ZY5" ca="1" si="692">IF(WEEKDAY(ZY$6)=2,ZY6,"")</f>
        <v>42072</v>
      </c>
      <c r="ZZ5" s="611" t="str">
        <f t="shared" ref="ZZ5" ca="1" si="693">IF(WEEKDAY(ZZ$6)=2,ZZ6,"")</f>
        <v/>
      </c>
      <c r="AAA5" s="590"/>
      <c r="AAB5"/>
      <c r="AAC5"/>
      <c r="AAD5" s="113"/>
      <c r="AAE5" s="553" t="s">
        <v>29</v>
      </c>
      <c r="AAF5" s="585" t="s">
        <v>199</v>
      </c>
      <c r="AAG5" s="113"/>
      <c r="AAH5" s="113"/>
      <c r="AAI5" s="77"/>
      <c r="AAJ5" s="510"/>
      <c r="AAK5" s="510"/>
      <c r="AAL5" s="64" t="str">
        <f ca="1">"Next EQC Meeting  "&amp;TEXT(S.EQCMeetingNEXT,"mm/dd/yy")</f>
        <v>Next EQC Meeting  03/31/00</v>
      </c>
      <c r="AAM5" s="113"/>
      <c r="AAN5" s="326"/>
      <c r="AAU5" s="44"/>
      <c r="ABB5" s="23">
        <f>S.BANNER.OverviewStart+76</f>
        <v>41445</v>
      </c>
    </row>
    <row r="6" spans="1:745" s="23" customFormat="1" ht="20.25" customHeight="1">
      <c r="A6" s="560"/>
      <c r="B6" s="543"/>
      <c r="C6" s="544"/>
      <c r="D6" s="770" t="s">
        <v>0</v>
      </c>
      <c r="E6" s="770"/>
      <c r="F6" s="319">
        <f ca="1">NETWORKDAYS(TODAY(),H6)</f>
        <v>174</v>
      </c>
      <c r="G6" s="526">
        <v>41369</v>
      </c>
      <c r="H6" s="526">
        <f>AAH6</f>
        <v>41624</v>
      </c>
      <c r="I6" s="600"/>
      <c r="J6" s="612">
        <f ca="1">TODAY()+J3</f>
        <v>41381</v>
      </c>
      <c r="K6" s="612">
        <f ca="1">J$6+1</f>
        <v>41382</v>
      </c>
      <c r="L6" s="612">
        <f t="shared" ref="L6:BW6" ca="1" si="694">K$6+1</f>
        <v>41383</v>
      </c>
      <c r="M6" s="612">
        <f t="shared" ca="1" si="694"/>
        <v>41384</v>
      </c>
      <c r="N6" s="612">
        <f t="shared" ca="1" si="694"/>
        <v>41385</v>
      </c>
      <c r="O6" s="612">
        <f t="shared" ca="1" si="694"/>
        <v>41386</v>
      </c>
      <c r="P6" s="612">
        <f t="shared" ca="1" si="694"/>
        <v>41387</v>
      </c>
      <c r="Q6" s="612">
        <f t="shared" ca="1" si="694"/>
        <v>41388</v>
      </c>
      <c r="R6" s="612">
        <f t="shared" ca="1" si="694"/>
        <v>41389</v>
      </c>
      <c r="S6" s="612">
        <f t="shared" ca="1" si="694"/>
        <v>41390</v>
      </c>
      <c r="T6" s="612">
        <f t="shared" ca="1" si="694"/>
        <v>41391</v>
      </c>
      <c r="U6" s="612">
        <f t="shared" ca="1" si="694"/>
        <v>41392</v>
      </c>
      <c r="V6" s="612">
        <f t="shared" ca="1" si="694"/>
        <v>41393</v>
      </c>
      <c r="W6" s="612">
        <f t="shared" ca="1" si="694"/>
        <v>41394</v>
      </c>
      <c r="X6" s="612">
        <f t="shared" ca="1" si="694"/>
        <v>41395</v>
      </c>
      <c r="Y6" s="612">
        <f t="shared" ca="1" si="694"/>
        <v>41396</v>
      </c>
      <c r="Z6" s="612">
        <f t="shared" ca="1" si="694"/>
        <v>41397</v>
      </c>
      <c r="AA6" s="612">
        <f t="shared" ca="1" si="694"/>
        <v>41398</v>
      </c>
      <c r="AB6" s="612">
        <f t="shared" ca="1" si="694"/>
        <v>41399</v>
      </c>
      <c r="AC6" s="612">
        <f t="shared" ca="1" si="694"/>
        <v>41400</v>
      </c>
      <c r="AD6" s="612">
        <f t="shared" ca="1" si="694"/>
        <v>41401</v>
      </c>
      <c r="AE6" s="612">
        <f t="shared" ca="1" si="694"/>
        <v>41402</v>
      </c>
      <c r="AF6" s="612">
        <f t="shared" ca="1" si="694"/>
        <v>41403</v>
      </c>
      <c r="AG6" s="612">
        <f t="shared" ca="1" si="694"/>
        <v>41404</v>
      </c>
      <c r="AH6" s="612">
        <f t="shared" ca="1" si="694"/>
        <v>41405</v>
      </c>
      <c r="AI6" s="612">
        <f t="shared" ca="1" si="694"/>
        <v>41406</v>
      </c>
      <c r="AJ6" s="612">
        <f t="shared" ca="1" si="694"/>
        <v>41407</v>
      </c>
      <c r="AK6" s="612">
        <f t="shared" ca="1" si="694"/>
        <v>41408</v>
      </c>
      <c r="AL6" s="612">
        <f t="shared" ca="1" si="694"/>
        <v>41409</v>
      </c>
      <c r="AM6" s="612">
        <f t="shared" ca="1" si="694"/>
        <v>41410</v>
      </c>
      <c r="AN6" s="612">
        <f t="shared" ca="1" si="694"/>
        <v>41411</v>
      </c>
      <c r="AO6" s="612">
        <f t="shared" ca="1" si="694"/>
        <v>41412</v>
      </c>
      <c r="AP6" s="612">
        <f t="shared" ca="1" si="694"/>
        <v>41413</v>
      </c>
      <c r="AQ6" s="612">
        <f t="shared" ca="1" si="694"/>
        <v>41414</v>
      </c>
      <c r="AR6" s="612">
        <f t="shared" ca="1" si="694"/>
        <v>41415</v>
      </c>
      <c r="AS6" s="612">
        <f t="shared" ca="1" si="694"/>
        <v>41416</v>
      </c>
      <c r="AT6" s="612">
        <f t="shared" ca="1" si="694"/>
        <v>41417</v>
      </c>
      <c r="AU6" s="612">
        <f t="shared" ca="1" si="694"/>
        <v>41418</v>
      </c>
      <c r="AV6" s="612">
        <f t="shared" ca="1" si="694"/>
        <v>41419</v>
      </c>
      <c r="AW6" s="612">
        <f t="shared" ca="1" si="694"/>
        <v>41420</v>
      </c>
      <c r="AX6" s="612">
        <f t="shared" ca="1" si="694"/>
        <v>41421</v>
      </c>
      <c r="AY6" s="612">
        <f t="shared" ca="1" si="694"/>
        <v>41422</v>
      </c>
      <c r="AZ6" s="612">
        <f t="shared" ca="1" si="694"/>
        <v>41423</v>
      </c>
      <c r="BA6" s="612">
        <f t="shared" ca="1" si="694"/>
        <v>41424</v>
      </c>
      <c r="BB6" s="612">
        <f t="shared" ca="1" si="694"/>
        <v>41425</v>
      </c>
      <c r="BC6" s="612">
        <f t="shared" ca="1" si="694"/>
        <v>41426</v>
      </c>
      <c r="BD6" s="612">
        <f t="shared" ca="1" si="694"/>
        <v>41427</v>
      </c>
      <c r="BE6" s="612">
        <f t="shared" ca="1" si="694"/>
        <v>41428</v>
      </c>
      <c r="BF6" s="612">
        <f t="shared" ca="1" si="694"/>
        <v>41429</v>
      </c>
      <c r="BG6" s="612">
        <f t="shared" ca="1" si="694"/>
        <v>41430</v>
      </c>
      <c r="BH6" s="612">
        <f t="shared" ca="1" si="694"/>
        <v>41431</v>
      </c>
      <c r="BI6" s="612">
        <f t="shared" ca="1" si="694"/>
        <v>41432</v>
      </c>
      <c r="BJ6" s="612">
        <f t="shared" ca="1" si="694"/>
        <v>41433</v>
      </c>
      <c r="BK6" s="612">
        <f t="shared" ca="1" si="694"/>
        <v>41434</v>
      </c>
      <c r="BL6" s="612">
        <f t="shared" ca="1" si="694"/>
        <v>41435</v>
      </c>
      <c r="BM6" s="612">
        <f t="shared" ca="1" si="694"/>
        <v>41436</v>
      </c>
      <c r="BN6" s="612">
        <f t="shared" ca="1" si="694"/>
        <v>41437</v>
      </c>
      <c r="BO6" s="612">
        <f t="shared" ca="1" si="694"/>
        <v>41438</v>
      </c>
      <c r="BP6" s="612">
        <f t="shared" ca="1" si="694"/>
        <v>41439</v>
      </c>
      <c r="BQ6" s="612">
        <f t="shared" ca="1" si="694"/>
        <v>41440</v>
      </c>
      <c r="BR6" s="612">
        <f t="shared" ca="1" si="694"/>
        <v>41441</v>
      </c>
      <c r="BS6" s="612">
        <f t="shared" ca="1" si="694"/>
        <v>41442</v>
      </c>
      <c r="BT6" s="612">
        <f t="shared" ca="1" si="694"/>
        <v>41443</v>
      </c>
      <c r="BU6" s="612">
        <f t="shared" ca="1" si="694"/>
        <v>41444</v>
      </c>
      <c r="BV6" s="612">
        <f t="shared" ca="1" si="694"/>
        <v>41445</v>
      </c>
      <c r="BW6" s="612">
        <f t="shared" ca="1" si="694"/>
        <v>41446</v>
      </c>
      <c r="BX6" s="612">
        <f t="shared" ref="BX6:EI6" ca="1" si="695">BW$6+1</f>
        <v>41447</v>
      </c>
      <c r="BY6" s="612">
        <f t="shared" ca="1" si="695"/>
        <v>41448</v>
      </c>
      <c r="BZ6" s="612">
        <f t="shared" ca="1" si="695"/>
        <v>41449</v>
      </c>
      <c r="CA6" s="612">
        <f t="shared" ca="1" si="695"/>
        <v>41450</v>
      </c>
      <c r="CB6" s="612">
        <f t="shared" ca="1" si="695"/>
        <v>41451</v>
      </c>
      <c r="CC6" s="612">
        <f t="shared" ca="1" si="695"/>
        <v>41452</v>
      </c>
      <c r="CD6" s="612">
        <f t="shared" ca="1" si="695"/>
        <v>41453</v>
      </c>
      <c r="CE6" s="612">
        <f t="shared" ca="1" si="695"/>
        <v>41454</v>
      </c>
      <c r="CF6" s="612">
        <f t="shared" ca="1" si="695"/>
        <v>41455</v>
      </c>
      <c r="CG6" s="612">
        <f t="shared" ca="1" si="695"/>
        <v>41456</v>
      </c>
      <c r="CH6" s="612">
        <f t="shared" ca="1" si="695"/>
        <v>41457</v>
      </c>
      <c r="CI6" s="612">
        <f t="shared" ca="1" si="695"/>
        <v>41458</v>
      </c>
      <c r="CJ6" s="612">
        <f t="shared" ca="1" si="695"/>
        <v>41459</v>
      </c>
      <c r="CK6" s="612">
        <f t="shared" ca="1" si="695"/>
        <v>41460</v>
      </c>
      <c r="CL6" s="612">
        <f t="shared" ca="1" si="695"/>
        <v>41461</v>
      </c>
      <c r="CM6" s="612">
        <f t="shared" ca="1" si="695"/>
        <v>41462</v>
      </c>
      <c r="CN6" s="612">
        <f t="shared" ca="1" si="695"/>
        <v>41463</v>
      </c>
      <c r="CO6" s="612">
        <f t="shared" ca="1" si="695"/>
        <v>41464</v>
      </c>
      <c r="CP6" s="612">
        <f t="shared" ca="1" si="695"/>
        <v>41465</v>
      </c>
      <c r="CQ6" s="612">
        <f t="shared" ca="1" si="695"/>
        <v>41466</v>
      </c>
      <c r="CR6" s="612">
        <f t="shared" ca="1" si="695"/>
        <v>41467</v>
      </c>
      <c r="CS6" s="612">
        <f t="shared" ca="1" si="695"/>
        <v>41468</v>
      </c>
      <c r="CT6" s="612">
        <f t="shared" ca="1" si="695"/>
        <v>41469</v>
      </c>
      <c r="CU6" s="612">
        <f t="shared" ca="1" si="695"/>
        <v>41470</v>
      </c>
      <c r="CV6" s="612">
        <f t="shared" ca="1" si="695"/>
        <v>41471</v>
      </c>
      <c r="CW6" s="612">
        <f t="shared" ca="1" si="695"/>
        <v>41472</v>
      </c>
      <c r="CX6" s="612">
        <f t="shared" ca="1" si="695"/>
        <v>41473</v>
      </c>
      <c r="CY6" s="612">
        <f t="shared" ca="1" si="695"/>
        <v>41474</v>
      </c>
      <c r="CZ6" s="612">
        <f t="shared" ca="1" si="695"/>
        <v>41475</v>
      </c>
      <c r="DA6" s="612">
        <f t="shared" ca="1" si="695"/>
        <v>41476</v>
      </c>
      <c r="DB6" s="612">
        <f t="shared" ca="1" si="695"/>
        <v>41477</v>
      </c>
      <c r="DC6" s="612">
        <f t="shared" ca="1" si="695"/>
        <v>41478</v>
      </c>
      <c r="DD6" s="612">
        <f t="shared" ca="1" si="695"/>
        <v>41479</v>
      </c>
      <c r="DE6" s="612">
        <f t="shared" ca="1" si="695"/>
        <v>41480</v>
      </c>
      <c r="DF6" s="612">
        <f t="shared" ca="1" si="695"/>
        <v>41481</v>
      </c>
      <c r="DG6" s="612">
        <f t="shared" ca="1" si="695"/>
        <v>41482</v>
      </c>
      <c r="DH6" s="612">
        <f t="shared" ca="1" si="695"/>
        <v>41483</v>
      </c>
      <c r="DI6" s="612">
        <f t="shared" ca="1" si="695"/>
        <v>41484</v>
      </c>
      <c r="DJ6" s="612">
        <f t="shared" ca="1" si="695"/>
        <v>41485</v>
      </c>
      <c r="DK6" s="612">
        <f t="shared" ca="1" si="695"/>
        <v>41486</v>
      </c>
      <c r="DL6" s="612">
        <f t="shared" ca="1" si="695"/>
        <v>41487</v>
      </c>
      <c r="DM6" s="612">
        <f t="shared" ca="1" si="695"/>
        <v>41488</v>
      </c>
      <c r="DN6" s="612">
        <f t="shared" ca="1" si="695"/>
        <v>41489</v>
      </c>
      <c r="DO6" s="612">
        <f t="shared" ca="1" si="695"/>
        <v>41490</v>
      </c>
      <c r="DP6" s="612">
        <f t="shared" ca="1" si="695"/>
        <v>41491</v>
      </c>
      <c r="DQ6" s="612">
        <f t="shared" ca="1" si="695"/>
        <v>41492</v>
      </c>
      <c r="DR6" s="612">
        <f t="shared" ca="1" si="695"/>
        <v>41493</v>
      </c>
      <c r="DS6" s="612">
        <f t="shared" ca="1" si="695"/>
        <v>41494</v>
      </c>
      <c r="DT6" s="612">
        <f t="shared" ca="1" si="695"/>
        <v>41495</v>
      </c>
      <c r="DU6" s="612">
        <f t="shared" ca="1" si="695"/>
        <v>41496</v>
      </c>
      <c r="DV6" s="612">
        <f t="shared" ca="1" si="695"/>
        <v>41497</v>
      </c>
      <c r="DW6" s="612">
        <f t="shared" ca="1" si="695"/>
        <v>41498</v>
      </c>
      <c r="DX6" s="612">
        <f t="shared" ca="1" si="695"/>
        <v>41499</v>
      </c>
      <c r="DY6" s="612">
        <f t="shared" ca="1" si="695"/>
        <v>41500</v>
      </c>
      <c r="DZ6" s="612">
        <f t="shared" ca="1" si="695"/>
        <v>41501</v>
      </c>
      <c r="EA6" s="612">
        <f t="shared" ca="1" si="695"/>
        <v>41502</v>
      </c>
      <c r="EB6" s="612">
        <f t="shared" ca="1" si="695"/>
        <v>41503</v>
      </c>
      <c r="EC6" s="612">
        <f t="shared" ca="1" si="695"/>
        <v>41504</v>
      </c>
      <c r="ED6" s="612">
        <f t="shared" ca="1" si="695"/>
        <v>41505</v>
      </c>
      <c r="EE6" s="612">
        <f t="shared" ca="1" si="695"/>
        <v>41506</v>
      </c>
      <c r="EF6" s="612">
        <f t="shared" ca="1" si="695"/>
        <v>41507</v>
      </c>
      <c r="EG6" s="612">
        <f t="shared" ca="1" si="695"/>
        <v>41508</v>
      </c>
      <c r="EH6" s="612">
        <f t="shared" ca="1" si="695"/>
        <v>41509</v>
      </c>
      <c r="EI6" s="612">
        <f t="shared" ca="1" si="695"/>
        <v>41510</v>
      </c>
      <c r="EJ6" s="612">
        <f t="shared" ref="EJ6:GU6" ca="1" si="696">EI$6+1</f>
        <v>41511</v>
      </c>
      <c r="EK6" s="612">
        <f t="shared" ca="1" si="696"/>
        <v>41512</v>
      </c>
      <c r="EL6" s="612">
        <f t="shared" ca="1" si="696"/>
        <v>41513</v>
      </c>
      <c r="EM6" s="612">
        <f t="shared" ca="1" si="696"/>
        <v>41514</v>
      </c>
      <c r="EN6" s="612">
        <f t="shared" ca="1" si="696"/>
        <v>41515</v>
      </c>
      <c r="EO6" s="612">
        <f t="shared" ca="1" si="696"/>
        <v>41516</v>
      </c>
      <c r="EP6" s="612">
        <f t="shared" ca="1" si="696"/>
        <v>41517</v>
      </c>
      <c r="EQ6" s="612">
        <f t="shared" ca="1" si="696"/>
        <v>41518</v>
      </c>
      <c r="ER6" s="612">
        <f t="shared" ca="1" si="696"/>
        <v>41519</v>
      </c>
      <c r="ES6" s="612">
        <f t="shared" ca="1" si="696"/>
        <v>41520</v>
      </c>
      <c r="ET6" s="612">
        <f t="shared" ca="1" si="696"/>
        <v>41521</v>
      </c>
      <c r="EU6" s="612">
        <f t="shared" ca="1" si="696"/>
        <v>41522</v>
      </c>
      <c r="EV6" s="612">
        <f t="shared" ca="1" si="696"/>
        <v>41523</v>
      </c>
      <c r="EW6" s="612">
        <f t="shared" ca="1" si="696"/>
        <v>41524</v>
      </c>
      <c r="EX6" s="612">
        <f t="shared" ca="1" si="696"/>
        <v>41525</v>
      </c>
      <c r="EY6" s="612">
        <f t="shared" ca="1" si="696"/>
        <v>41526</v>
      </c>
      <c r="EZ6" s="612">
        <f t="shared" ca="1" si="696"/>
        <v>41527</v>
      </c>
      <c r="FA6" s="612">
        <f t="shared" ca="1" si="696"/>
        <v>41528</v>
      </c>
      <c r="FB6" s="612">
        <f t="shared" ca="1" si="696"/>
        <v>41529</v>
      </c>
      <c r="FC6" s="612">
        <f t="shared" ca="1" si="696"/>
        <v>41530</v>
      </c>
      <c r="FD6" s="612">
        <f t="shared" ca="1" si="696"/>
        <v>41531</v>
      </c>
      <c r="FE6" s="612">
        <f t="shared" ca="1" si="696"/>
        <v>41532</v>
      </c>
      <c r="FF6" s="612">
        <f t="shared" ca="1" si="696"/>
        <v>41533</v>
      </c>
      <c r="FG6" s="612">
        <f t="shared" ca="1" si="696"/>
        <v>41534</v>
      </c>
      <c r="FH6" s="612">
        <f t="shared" ca="1" si="696"/>
        <v>41535</v>
      </c>
      <c r="FI6" s="612">
        <f t="shared" ca="1" si="696"/>
        <v>41536</v>
      </c>
      <c r="FJ6" s="612">
        <f t="shared" ca="1" si="696"/>
        <v>41537</v>
      </c>
      <c r="FK6" s="612">
        <f t="shared" ca="1" si="696"/>
        <v>41538</v>
      </c>
      <c r="FL6" s="612">
        <f t="shared" ca="1" si="696"/>
        <v>41539</v>
      </c>
      <c r="FM6" s="612">
        <f t="shared" ca="1" si="696"/>
        <v>41540</v>
      </c>
      <c r="FN6" s="612">
        <f t="shared" ca="1" si="696"/>
        <v>41541</v>
      </c>
      <c r="FO6" s="612">
        <f t="shared" ca="1" si="696"/>
        <v>41542</v>
      </c>
      <c r="FP6" s="612">
        <f t="shared" ca="1" si="696"/>
        <v>41543</v>
      </c>
      <c r="FQ6" s="612">
        <f t="shared" ca="1" si="696"/>
        <v>41544</v>
      </c>
      <c r="FR6" s="612">
        <f t="shared" ca="1" si="696"/>
        <v>41545</v>
      </c>
      <c r="FS6" s="612">
        <f t="shared" ca="1" si="696"/>
        <v>41546</v>
      </c>
      <c r="FT6" s="612">
        <f t="shared" ca="1" si="696"/>
        <v>41547</v>
      </c>
      <c r="FU6" s="612">
        <f t="shared" ca="1" si="696"/>
        <v>41548</v>
      </c>
      <c r="FV6" s="612">
        <f t="shared" ca="1" si="696"/>
        <v>41549</v>
      </c>
      <c r="FW6" s="612">
        <f t="shared" ca="1" si="696"/>
        <v>41550</v>
      </c>
      <c r="FX6" s="612">
        <f t="shared" ca="1" si="696"/>
        <v>41551</v>
      </c>
      <c r="FY6" s="612">
        <f t="shared" ca="1" si="696"/>
        <v>41552</v>
      </c>
      <c r="FZ6" s="612">
        <f t="shared" ca="1" si="696"/>
        <v>41553</v>
      </c>
      <c r="GA6" s="612">
        <f t="shared" ca="1" si="696"/>
        <v>41554</v>
      </c>
      <c r="GB6" s="612">
        <f t="shared" ca="1" si="696"/>
        <v>41555</v>
      </c>
      <c r="GC6" s="612">
        <f t="shared" ca="1" si="696"/>
        <v>41556</v>
      </c>
      <c r="GD6" s="612">
        <f t="shared" ca="1" si="696"/>
        <v>41557</v>
      </c>
      <c r="GE6" s="612">
        <f t="shared" ca="1" si="696"/>
        <v>41558</v>
      </c>
      <c r="GF6" s="612">
        <f t="shared" ca="1" si="696"/>
        <v>41559</v>
      </c>
      <c r="GG6" s="612">
        <f t="shared" ca="1" si="696"/>
        <v>41560</v>
      </c>
      <c r="GH6" s="612">
        <f t="shared" ca="1" si="696"/>
        <v>41561</v>
      </c>
      <c r="GI6" s="612">
        <f t="shared" ca="1" si="696"/>
        <v>41562</v>
      </c>
      <c r="GJ6" s="612">
        <f t="shared" ca="1" si="696"/>
        <v>41563</v>
      </c>
      <c r="GK6" s="612">
        <f t="shared" ca="1" si="696"/>
        <v>41564</v>
      </c>
      <c r="GL6" s="612">
        <f t="shared" ca="1" si="696"/>
        <v>41565</v>
      </c>
      <c r="GM6" s="612">
        <f t="shared" ca="1" si="696"/>
        <v>41566</v>
      </c>
      <c r="GN6" s="612">
        <f t="shared" ca="1" si="696"/>
        <v>41567</v>
      </c>
      <c r="GO6" s="612">
        <f t="shared" ca="1" si="696"/>
        <v>41568</v>
      </c>
      <c r="GP6" s="612">
        <f t="shared" ca="1" si="696"/>
        <v>41569</v>
      </c>
      <c r="GQ6" s="612">
        <f t="shared" ca="1" si="696"/>
        <v>41570</v>
      </c>
      <c r="GR6" s="612">
        <f t="shared" ca="1" si="696"/>
        <v>41571</v>
      </c>
      <c r="GS6" s="612">
        <f t="shared" ca="1" si="696"/>
        <v>41572</v>
      </c>
      <c r="GT6" s="612">
        <f t="shared" ca="1" si="696"/>
        <v>41573</v>
      </c>
      <c r="GU6" s="612">
        <f t="shared" ca="1" si="696"/>
        <v>41574</v>
      </c>
      <c r="GV6" s="612">
        <f t="shared" ref="GV6:JG6" ca="1" si="697">GU$6+1</f>
        <v>41575</v>
      </c>
      <c r="GW6" s="612">
        <f t="shared" ca="1" si="697"/>
        <v>41576</v>
      </c>
      <c r="GX6" s="612">
        <f t="shared" ca="1" si="697"/>
        <v>41577</v>
      </c>
      <c r="GY6" s="612">
        <f t="shared" ca="1" si="697"/>
        <v>41578</v>
      </c>
      <c r="GZ6" s="612">
        <f t="shared" ca="1" si="697"/>
        <v>41579</v>
      </c>
      <c r="HA6" s="612">
        <f t="shared" ca="1" si="697"/>
        <v>41580</v>
      </c>
      <c r="HB6" s="612">
        <f t="shared" ca="1" si="697"/>
        <v>41581</v>
      </c>
      <c r="HC6" s="612">
        <f t="shared" ca="1" si="697"/>
        <v>41582</v>
      </c>
      <c r="HD6" s="612">
        <f t="shared" ca="1" si="697"/>
        <v>41583</v>
      </c>
      <c r="HE6" s="612">
        <f t="shared" ca="1" si="697"/>
        <v>41584</v>
      </c>
      <c r="HF6" s="612">
        <f t="shared" ca="1" si="697"/>
        <v>41585</v>
      </c>
      <c r="HG6" s="612">
        <f t="shared" ca="1" si="697"/>
        <v>41586</v>
      </c>
      <c r="HH6" s="612">
        <f t="shared" ca="1" si="697"/>
        <v>41587</v>
      </c>
      <c r="HI6" s="612">
        <f t="shared" ca="1" si="697"/>
        <v>41588</v>
      </c>
      <c r="HJ6" s="612">
        <f t="shared" ca="1" si="697"/>
        <v>41589</v>
      </c>
      <c r="HK6" s="612">
        <f t="shared" ca="1" si="697"/>
        <v>41590</v>
      </c>
      <c r="HL6" s="612">
        <f t="shared" ca="1" si="697"/>
        <v>41591</v>
      </c>
      <c r="HM6" s="612">
        <f t="shared" ca="1" si="697"/>
        <v>41592</v>
      </c>
      <c r="HN6" s="612">
        <f t="shared" ca="1" si="697"/>
        <v>41593</v>
      </c>
      <c r="HO6" s="612">
        <f t="shared" ca="1" si="697"/>
        <v>41594</v>
      </c>
      <c r="HP6" s="612">
        <f t="shared" ca="1" si="697"/>
        <v>41595</v>
      </c>
      <c r="HQ6" s="612">
        <f t="shared" ca="1" si="697"/>
        <v>41596</v>
      </c>
      <c r="HR6" s="612">
        <f t="shared" ca="1" si="697"/>
        <v>41597</v>
      </c>
      <c r="HS6" s="612">
        <f t="shared" ca="1" si="697"/>
        <v>41598</v>
      </c>
      <c r="HT6" s="612">
        <f t="shared" ca="1" si="697"/>
        <v>41599</v>
      </c>
      <c r="HU6" s="612">
        <f t="shared" ca="1" si="697"/>
        <v>41600</v>
      </c>
      <c r="HV6" s="612">
        <f t="shared" ca="1" si="697"/>
        <v>41601</v>
      </c>
      <c r="HW6" s="612">
        <f t="shared" ca="1" si="697"/>
        <v>41602</v>
      </c>
      <c r="HX6" s="612">
        <f t="shared" ca="1" si="697"/>
        <v>41603</v>
      </c>
      <c r="HY6" s="612">
        <f t="shared" ca="1" si="697"/>
        <v>41604</v>
      </c>
      <c r="HZ6" s="612">
        <f t="shared" ca="1" si="697"/>
        <v>41605</v>
      </c>
      <c r="IA6" s="612">
        <f t="shared" ca="1" si="697"/>
        <v>41606</v>
      </c>
      <c r="IB6" s="612">
        <f t="shared" ca="1" si="697"/>
        <v>41607</v>
      </c>
      <c r="IC6" s="612">
        <f t="shared" ca="1" si="697"/>
        <v>41608</v>
      </c>
      <c r="ID6" s="612">
        <f t="shared" ca="1" si="697"/>
        <v>41609</v>
      </c>
      <c r="IE6" s="612">
        <f t="shared" ca="1" si="697"/>
        <v>41610</v>
      </c>
      <c r="IF6" s="612">
        <f t="shared" ca="1" si="697"/>
        <v>41611</v>
      </c>
      <c r="IG6" s="612">
        <f t="shared" ca="1" si="697"/>
        <v>41612</v>
      </c>
      <c r="IH6" s="612">
        <f t="shared" ca="1" si="697"/>
        <v>41613</v>
      </c>
      <c r="II6" s="612">
        <f t="shared" ca="1" si="697"/>
        <v>41614</v>
      </c>
      <c r="IJ6" s="612">
        <f t="shared" ca="1" si="697"/>
        <v>41615</v>
      </c>
      <c r="IK6" s="612">
        <f t="shared" ca="1" si="697"/>
        <v>41616</v>
      </c>
      <c r="IL6" s="612">
        <f t="shared" ca="1" si="697"/>
        <v>41617</v>
      </c>
      <c r="IM6" s="612">
        <f t="shared" ca="1" si="697"/>
        <v>41618</v>
      </c>
      <c r="IN6" s="612">
        <f t="shared" ca="1" si="697"/>
        <v>41619</v>
      </c>
      <c r="IO6" s="612">
        <f t="shared" ca="1" si="697"/>
        <v>41620</v>
      </c>
      <c r="IP6" s="612">
        <f t="shared" ca="1" si="697"/>
        <v>41621</v>
      </c>
      <c r="IQ6" s="612">
        <f t="shared" ca="1" si="697"/>
        <v>41622</v>
      </c>
      <c r="IR6" s="612">
        <f t="shared" ca="1" si="697"/>
        <v>41623</v>
      </c>
      <c r="IS6" s="612">
        <f t="shared" ca="1" si="697"/>
        <v>41624</v>
      </c>
      <c r="IT6" s="612">
        <f t="shared" ca="1" si="697"/>
        <v>41625</v>
      </c>
      <c r="IU6" s="612">
        <f t="shared" ca="1" si="697"/>
        <v>41626</v>
      </c>
      <c r="IV6" s="612">
        <f t="shared" ca="1" si="697"/>
        <v>41627</v>
      </c>
      <c r="IW6" s="612">
        <f t="shared" ca="1" si="697"/>
        <v>41628</v>
      </c>
      <c r="IX6" s="612">
        <f t="shared" ca="1" si="697"/>
        <v>41629</v>
      </c>
      <c r="IY6" s="612">
        <f t="shared" ca="1" si="697"/>
        <v>41630</v>
      </c>
      <c r="IZ6" s="612">
        <f t="shared" ca="1" si="697"/>
        <v>41631</v>
      </c>
      <c r="JA6" s="612">
        <f t="shared" ca="1" si="697"/>
        <v>41632</v>
      </c>
      <c r="JB6" s="612">
        <f t="shared" ca="1" si="697"/>
        <v>41633</v>
      </c>
      <c r="JC6" s="612">
        <f t="shared" ca="1" si="697"/>
        <v>41634</v>
      </c>
      <c r="JD6" s="612">
        <f t="shared" ca="1" si="697"/>
        <v>41635</v>
      </c>
      <c r="JE6" s="612">
        <f t="shared" ca="1" si="697"/>
        <v>41636</v>
      </c>
      <c r="JF6" s="612">
        <f t="shared" ca="1" si="697"/>
        <v>41637</v>
      </c>
      <c r="JG6" s="612">
        <f t="shared" ca="1" si="697"/>
        <v>41638</v>
      </c>
      <c r="JH6" s="612">
        <f t="shared" ref="JH6:LS6" ca="1" si="698">JG$6+1</f>
        <v>41639</v>
      </c>
      <c r="JI6" s="612">
        <f t="shared" ca="1" si="698"/>
        <v>41640</v>
      </c>
      <c r="JJ6" s="612">
        <f t="shared" ca="1" si="698"/>
        <v>41641</v>
      </c>
      <c r="JK6" s="612">
        <f t="shared" ca="1" si="698"/>
        <v>41642</v>
      </c>
      <c r="JL6" s="612">
        <f t="shared" ca="1" si="698"/>
        <v>41643</v>
      </c>
      <c r="JM6" s="612">
        <f t="shared" ca="1" si="698"/>
        <v>41644</v>
      </c>
      <c r="JN6" s="612">
        <f t="shared" ca="1" si="698"/>
        <v>41645</v>
      </c>
      <c r="JO6" s="612">
        <f t="shared" ca="1" si="698"/>
        <v>41646</v>
      </c>
      <c r="JP6" s="612">
        <f t="shared" ca="1" si="698"/>
        <v>41647</v>
      </c>
      <c r="JQ6" s="612">
        <f t="shared" ca="1" si="698"/>
        <v>41648</v>
      </c>
      <c r="JR6" s="612">
        <f t="shared" ca="1" si="698"/>
        <v>41649</v>
      </c>
      <c r="JS6" s="612">
        <f t="shared" ca="1" si="698"/>
        <v>41650</v>
      </c>
      <c r="JT6" s="612">
        <f t="shared" ca="1" si="698"/>
        <v>41651</v>
      </c>
      <c r="JU6" s="612">
        <f t="shared" ca="1" si="698"/>
        <v>41652</v>
      </c>
      <c r="JV6" s="612">
        <f t="shared" ca="1" si="698"/>
        <v>41653</v>
      </c>
      <c r="JW6" s="612">
        <f t="shared" ca="1" si="698"/>
        <v>41654</v>
      </c>
      <c r="JX6" s="612">
        <f t="shared" ca="1" si="698"/>
        <v>41655</v>
      </c>
      <c r="JY6" s="612">
        <f t="shared" ca="1" si="698"/>
        <v>41656</v>
      </c>
      <c r="JZ6" s="612">
        <f t="shared" ca="1" si="698"/>
        <v>41657</v>
      </c>
      <c r="KA6" s="612">
        <f t="shared" ca="1" si="698"/>
        <v>41658</v>
      </c>
      <c r="KB6" s="612">
        <f t="shared" ca="1" si="698"/>
        <v>41659</v>
      </c>
      <c r="KC6" s="612">
        <f t="shared" ca="1" si="698"/>
        <v>41660</v>
      </c>
      <c r="KD6" s="612">
        <f t="shared" ca="1" si="698"/>
        <v>41661</v>
      </c>
      <c r="KE6" s="612">
        <f t="shared" ca="1" si="698"/>
        <v>41662</v>
      </c>
      <c r="KF6" s="612">
        <f t="shared" ca="1" si="698"/>
        <v>41663</v>
      </c>
      <c r="KG6" s="612">
        <f t="shared" ca="1" si="698"/>
        <v>41664</v>
      </c>
      <c r="KH6" s="612">
        <f t="shared" ca="1" si="698"/>
        <v>41665</v>
      </c>
      <c r="KI6" s="612">
        <f t="shared" ca="1" si="698"/>
        <v>41666</v>
      </c>
      <c r="KJ6" s="612">
        <f t="shared" ca="1" si="698"/>
        <v>41667</v>
      </c>
      <c r="KK6" s="612">
        <f t="shared" ca="1" si="698"/>
        <v>41668</v>
      </c>
      <c r="KL6" s="612">
        <f t="shared" ca="1" si="698"/>
        <v>41669</v>
      </c>
      <c r="KM6" s="612">
        <f t="shared" ca="1" si="698"/>
        <v>41670</v>
      </c>
      <c r="KN6" s="612">
        <f t="shared" ca="1" si="698"/>
        <v>41671</v>
      </c>
      <c r="KO6" s="612">
        <f t="shared" ca="1" si="698"/>
        <v>41672</v>
      </c>
      <c r="KP6" s="612">
        <f t="shared" ca="1" si="698"/>
        <v>41673</v>
      </c>
      <c r="KQ6" s="612">
        <f t="shared" ca="1" si="698"/>
        <v>41674</v>
      </c>
      <c r="KR6" s="612">
        <f t="shared" ca="1" si="698"/>
        <v>41675</v>
      </c>
      <c r="KS6" s="612">
        <f t="shared" ca="1" si="698"/>
        <v>41676</v>
      </c>
      <c r="KT6" s="612">
        <f t="shared" ca="1" si="698"/>
        <v>41677</v>
      </c>
      <c r="KU6" s="612">
        <f t="shared" ca="1" si="698"/>
        <v>41678</v>
      </c>
      <c r="KV6" s="612">
        <f t="shared" ca="1" si="698"/>
        <v>41679</v>
      </c>
      <c r="KW6" s="612">
        <f t="shared" ca="1" si="698"/>
        <v>41680</v>
      </c>
      <c r="KX6" s="612">
        <f t="shared" ca="1" si="698"/>
        <v>41681</v>
      </c>
      <c r="KY6" s="612">
        <f t="shared" ca="1" si="698"/>
        <v>41682</v>
      </c>
      <c r="KZ6" s="612">
        <f t="shared" ca="1" si="698"/>
        <v>41683</v>
      </c>
      <c r="LA6" s="612">
        <f t="shared" ca="1" si="698"/>
        <v>41684</v>
      </c>
      <c r="LB6" s="612">
        <f t="shared" ca="1" si="698"/>
        <v>41685</v>
      </c>
      <c r="LC6" s="612">
        <f t="shared" ca="1" si="698"/>
        <v>41686</v>
      </c>
      <c r="LD6" s="612">
        <f t="shared" ca="1" si="698"/>
        <v>41687</v>
      </c>
      <c r="LE6" s="612">
        <f t="shared" ca="1" si="698"/>
        <v>41688</v>
      </c>
      <c r="LF6" s="612">
        <f t="shared" ca="1" si="698"/>
        <v>41689</v>
      </c>
      <c r="LG6" s="612">
        <f t="shared" ca="1" si="698"/>
        <v>41690</v>
      </c>
      <c r="LH6" s="612">
        <f t="shared" ca="1" si="698"/>
        <v>41691</v>
      </c>
      <c r="LI6" s="612">
        <f t="shared" ca="1" si="698"/>
        <v>41692</v>
      </c>
      <c r="LJ6" s="612">
        <f t="shared" ca="1" si="698"/>
        <v>41693</v>
      </c>
      <c r="LK6" s="612">
        <f t="shared" ca="1" si="698"/>
        <v>41694</v>
      </c>
      <c r="LL6" s="612">
        <f t="shared" ca="1" si="698"/>
        <v>41695</v>
      </c>
      <c r="LM6" s="612">
        <f t="shared" ca="1" si="698"/>
        <v>41696</v>
      </c>
      <c r="LN6" s="612">
        <f t="shared" ca="1" si="698"/>
        <v>41697</v>
      </c>
      <c r="LO6" s="612">
        <f t="shared" ca="1" si="698"/>
        <v>41698</v>
      </c>
      <c r="LP6" s="612">
        <f t="shared" ca="1" si="698"/>
        <v>41699</v>
      </c>
      <c r="LQ6" s="612">
        <f t="shared" ca="1" si="698"/>
        <v>41700</v>
      </c>
      <c r="LR6" s="612">
        <f t="shared" ca="1" si="698"/>
        <v>41701</v>
      </c>
      <c r="LS6" s="612">
        <f t="shared" ca="1" si="698"/>
        <v>41702</v>
      </c>
      <c r="LT6" s="612">
        <f t="shared" ref="LT6:OE6" ca="1" si="699">LS$6+1</f>
        <v>41703</v>
      </c>
      <c r="LU6" s="612">
        <f t="shared" ca="1" si="699"/>
        <v>41704</v>
      </c>
      <c r="LV6" s="612">
        <f t="shared" ca="1" si="699"/>
        <v>41705</v>
      </c>
      <c r="LW6" s="612">
        <f t="shared" ca="1" si="699"/>
        <v>41706</v>
      </c>
      <c r="LX6" s="612">
        <f t="shared" ca="1" si="699"/>
        <v>41707</v>
      </c>
      <c r="LY6" s="612">
        <f t="shared" ca="1" si="699"/>
        <v>41708</v>
      </c>
      <c r="LZ6" s="612">
        <f t="shared" ca="1" si="699"/>
        <v>41709</v>
      </c>
      <c r="MA6" s="612">
        <f t="shared" ca="1" si="699"/>
        <v>41710</v>
      </c>
      <c r="MB6" s="612">
        <f t="shared" ca="1" si="699"/>
        <v>41711</v>
      </c>
      <c r="MC6" s="612">
        <f t="shared" ca="1" si="699"/>
        <v>41712</v>
      </c>
      <c r="MD6" s="612">
        <f t="shared" ca="1" si="699"/>
        <v>41713</v>
      </c>
      <c r="ME6" s="612">
        <f t="shared" ca="1" si="699"/>
        <v>41714</v>
      </c>
      <c r="MF6" s="612">
        <f t="shared" ca="1" si="699"/>
        <v>41715</v>
      </c>
      <c r="MG6" s="612">
        <f t="shared" ca="1" si="699"/>
        <v>41716</v>
      </c>
      <c r="MH6" s="612">
        <f t="shared" ca="1" si="699"/>
        <v>41717</v>
      </c>
      <c r="MI6" s="612">
        <f t="shared" ca="1" si="699"/>
        <v>41718</v>
      </c>
      <c r="MJ6" s="612">
        <f t="shared" ca="1" si="699"/>
        <v>41719</v>
      </c>
      <c r="MK6" s="612">
        <f t="shared" ca="1" si="699"/>
        <v>41720</v>
      </c>
      <c r="ML6" s="612">
        <f t="shared" ca="1" si="699"/>
        <v>41721</v>
      </c>
      <c r="MM6" s="612">
        <f t="shared" ca="1" si="699"/>
        <v>41722</v>
      </c>
      <c r="MN6" s="612">
        <f t="shared" ca="1" si="699"/>
        <v>41723</v>
      </c>
      <c r="MO6" s="612">
        <f t="shared" ca="1" si="699"/>
        <v>41724</v>
      </c>
      <c r="MP6" s="612">
        <f t="shared" ca="1" si="699"/>
        <v>41725</v>
      </c>
      <c r="MQ6" s="612">
        <f t="shared" ca="1" si="699"/>
        <v>41726</v>
      </c>
      <c r="MR6" s="612">
        <f t="shared" ca="1" si="699"/>
        <v>41727</v>
      </c>
      <c r="MS6" s="612">
        <f t="shared" ca="1" si="699"/>
        <v>41728</v>
      </c>
      <c r="MT6" s="612">
        <f t="shared" ca="1" si="699"/>
        <v>41729</v>
      </c>
      <c r="MU6" s="612">
        <f t="shared" ca="1" si="699"/>
        <v>41730</v>
      </c>
      <c r="MV6" s="612">
        <f t="shared" ca="1" si="699"/>
        <v>41731</v>
      </c>
      <c r="MW6" s="612">
        <f t="shared" ca="1" si="699"/>
        <v>41732</v>
      </c>
      <c r="MX6" s="612">
        <f t="shared" ca="1" si="699"/>
        <v>41733</v>
      </c>
      <c r="MY6" s="612">
        <f t="shared" ca="1" si="699"/>
        <v>41734</v>
      </c>
      <c r="MZ6" s="612">
        <f t="shared" ca="1" si="699"/>
        <v>41735</v>
      </c>
      <c r="NA6" s="612">
        <f t="shared" ca="1" si="699"/>
        <v>41736</v>
      </c>
      <c r="NB6" s="612">
        <f t="shared" ca="1" si="699"/>
        <v>41737</v>
      </c>
      <c r="NC6" s="612">
        <f t="shared" ca="1" si="699"/>
        <v>41738</v>
      </c>
      <c r="ND6" s="612">
        <f t="shared" ca="1" si="699"/>
        <v>41739</v>
      </c>
      <c r="NE6" s="612">
        <f t="shared" ca="1" si="699"/>
        <v>41740</v>
      </c>
      <c r="NF6" s="612">
        <f t="shared" ca="1" si="699"/>
        <v>41741</v>
      </c>
      <c r="NG6" s="612">
        <f t="shared" ca="1" si="699"/>
        <v>41742</v>
      </c>
      <c r="NH6" s="612">
        <f t="shared" ca="1" si="699"/>
        <v>41743</v>
      </c>
      <c r="NI6" s="612">
        <f t="shared" ca="1" si="699"/>
        <v>41744</v>
      </c>
      <c r="NJ6" s="612">
        <f t="shared" ca="1" si="699"/>
        <v>41745</v>
      </c>
      <c r="NK6" s="612">
        <f t="shared" ca="1" si="699"/>
        <v>41746</v>
      </c>
      <c r="NL6" s="612">
        <f t="shared" ca="1" si="699"/>
        <v>41747</v>
      </c>
      <c r="NM6" s="612">
        <f t="shared" ca="1" si="699"/>
        <v>41748</v>
      </c>
      <c r="NN6" s="612">
        <f t="shared" ca="1" si="699"/>
        <v>41749</v>
      </c>
      <c r="NO6" s="612">
        <f t="shared" ca="1" si="699"/>
        <v>41750</v>
      </c>
      <c r="NP6" s="612">
        <f t="shared" ca="1" si="699"/>
        <v>41751</v>
      </c>
      <c r="NQ6" s="612">
        <f t="shared" ca="1" si="699"/>
        <v>41752</v>
      </c>
      <c r="NR6" s="612">
        <f t="shared" ca="1" si="699"/>
        <v>41753</v>
      </c>
      <c r="NS6" s="612">
        <f t="shared" ca="1" si="699"/>
        <v>41754</v>
      </c>
      <c r="NT6" s="612">
        <f t="shared" ca="1" si="699"/>
        <v>41755</v>
      </c>
      <c r="NU6" s="612">
        <f t="shared" ca="1" si="699"/>
        <v>41756</v>
      </c>
      <c r="NV6" s="612">
        <f t="shared" ca="1" si="699"/>
        <v>41757</v>
      </c>
      <c r="NW6" s="612">
        <f t="shared" ca="1" si="699"/>
        <v>41758</v>
      </c>
      <c r="NX6" s="612">
        <f t="shared" ca="1" si="699"/>
        <v>41759</v>
      </c>
      <c r="NY6" s="612">
        <f t="shared" ca="1" si="699"/>
        <v>41760</v>
      </c>
      <c r="NZ6" s="612">
        <f t="shared" ca="1" si="699"/>
        <v>41761</v>
      </c>
      <c r="OA6" s="612">
        <f t="shared" ca="1" si="699"/>
        <v>41762</v>
      </c>
      <c r="OB6" s="612">
        <f t="shared" ca="1" si="699"/>
        <v>41763</v>
      </c>
      <c r="OC6" s="612">
        <f t="shared" ca="1" si="699"/>
        <v>41764</v>
      </c>
      <c r="OD6" s="612">
        <f t="shared" ca="1" si="699"/>
        <v>41765</v>
      </c>
      <c r="OE6" s="612">
        <f t="shared" ca="1" si="699"/>
        <v>41766</v>
      </c>
      <c r="OF6" s="612">
        <f t="shared" ref="OF6:QQ6" ca="1" si="700">OE$6+1</f>
        <v>41767</v>
      </c>
      <c r="OG6" s="612">
        <f t="shared" ca="1" si="700"/>
        <v>41768</v>
      </c>
      <c r="OH6" s="612">
        <f t="shared" ca="1" si="700"/>
        <v>41769</v>
      </c>
      <c r="OI6" s="612">
        <f t="shared" ca="1" si="700"/>
        <v>41770</v>
      </c>
      <c r="OJ6" s="612">
        <f t="shared" ca="1" si="700"/>
        <v>41771</v>
      </c>
      <c r="OK6" s="612">
        <f t="shared" ca="1" si="700"/>
        <v>41772</v>
      </c>
      <c r="OL6" s="612">
        <f t="shared" ca="1" si="700"/>
        <v>41773</v>
      </c>
      <c r="OM6" s="612">
        <f t="shared" ca="1" si="700"/>
        <v>41774</v>
      </c>
      <c r="ON6" s="612">
        <f t="shared" ca="1" si="700"/>
        <v>41775</v>
      </c>
      <c r="OO6" s="612">
        <f t="shared" ca="1" si="700"/>
        <v>41776</v>
      </c>
      <c r="OP6" s="612">
        <f t="shared" ca="1" si="700"/>
        <v>41777</v>
      </c>
      <c r="OQ6" s="612">
        <f t="shared" ca="1" si="700"/>
        <v>41778</v>
      </c>
      <c r="OR6" s="612">
        <f t="shared" ca="1" si="700"/>
        <v>41779</v>
      </c>
      <c r="OS6" s="612">
        <f t="shared" ca="1" si="700"/>
        <v>41780</v>
      </c>
      <c r="OT6" s="612">
        <f t="shared" ca="1" si="700"/>
        <v>41781</v>
      </c>
      <c r="OU6" s="612">
        <f t="shared" ca="1" si="700"/>
        <v>41782</v>
      </c>
      <c r="OV6" s="612">
        <f t="shared" ca="1" si="700"/>
        <v>41783</v>
      </c>
      <c r="OW6" s="612">
        <f t="shared" ca="1" si="700"/>
        <v>41784</v>
      </c>
      <c r="OX6" s="612">
        <f t="shared" ca="1" si="700"/>
        <v>41785</v>
      </c>
      <c r="OY6" s="612">
        <f t="shared" ca="1" si="700"/>
        <v>41786</v>
      </c>
      <c r="OZ6" s="612">
        <f t="shared" ca="1" si="700"/>
        <v>41787</v>
      </c>
      <c r="PA6" s="612">
        <f t="shared" ca="1" si="700"/>
        <v>41788</v>
      </c>
      <c r="PB6" s="612">
        <f t="shared" ca="1" si="700"/>
        <v>41789</v>
      </c>
      <c r="PC6" s="612">
        <f t="shared" ca="1" si="700"/>
        <v>41790</v>
      </c>
      <c r="PD6" s="612">
        <f t="shared" ca="1" si="700"/>
        <v>41791</v>
      </c>
      <c r="PE6" s="612">
        <f t="shared" ca="1" si="700"/>
        <v>41792</v>
      </c>
      <c r="PF6" s="612">
        <f t="shared" ca="1" si="700"/>
        <v>41793</v>
      </c>
      <c r="PG6" s="612">
        <f t="shared" ca="1" si="700"/>
        <v>41794</v>
      </c>
      <c r="PH6" s="612">
        <f t="shared" ca="1" si="700"/>
        <v>41795</v>
      </c>
      <c r="PI6" s="612">
        <f t="shared" ca="1" si="700"/>
        <v>41796</v>
      </c>
      <c r="PJ6" s="612">
        <f t="shared" ca="1" si="700"/>
        <v>41797</v>
      </c>
      <c r="PK6" s="612">
        <f t="shared" ca="1" si="700"/>
        <v>41798</v>
      </c>
      <c r="PL6" s="612">
        <f t="shared" ca="1" si="700"/>
        <v>41799</v>
      </c>
      <c r="PM6" s="612">
        <f t="shared" ca="1" si="700"/>
        <v>41800</v>
      </c>
      <c r="PN6" s="612">
        <f t="shared" ca="1" si="700"/>
        <v>41801</v>
      </c>
      <c r="PO6" s="612">
        <f t="shared" ca="1" si="700"/>
        <v>41802</v>
      </c>
      <c r="PP6" s="612">
        <f t="shared" ca="1" si="700"/>
        <v>41803</v>
      </c>
      <c r="PQ6" s="612">
        <f t="shared" ca="1" si="700"/>
        <v>41804</v>
      </c>
      <c r="PR6" s="612">
        <f t="shared" ca="1" si="700"/>
        <v>41805</v>
      </c>
      <c r="PS6" s="612">
        <f t="shared" ca="1" si="700"/>
        <v>41806</v>
      </c>
      <c r="PT6" s="612">
        <f t="shared" ca="1" si="700"/>
        <v>41807</v>
      </c>
      <c r="PU6" s="612">
        <f t="shared" ca="1" si="700"/>
        <v>41808</v>
      </c>
      <c r="PV6" s="612">
        <f t="shared" ca="1" si="700"/>
        <v>41809</v>
      </c>
      <c r="PW6" s="612">
        <f t="shared" ca="1" si="700"/>
        <v>41810</v>
      </c>
      <c r="PX6" s="612">
        <f t="shared" ca="1" si="700"/>
        <v>41811</v>
      </c>
      <c r="PY6" s="612">
        <f t="shared" ca="1" si="700"/>
        <v>41812</v>
      </c>
      <c r="PZ6" s="612">
        <f t="shared" ca="1" si="700"/>
        <v>41813</v>
      </c>
      <c r="QA6" s="612">
        <f t="shared" ca="1" si="700"/>
        <v>41814</v>
      </c>
      <c r="QB6" s="612">
        <f t="shared" ca="1" si="700"/>
        <v>41815</v>
      </c>
      <c r="QC6" s="612">
        <f t="shared" ca="1" si="700"/>
        <v>41816</v>
      </c>
      <c r="QD6" s="612">
        <f t="shared" ca="1" si="700"/>
        <v>41817</v>
      </c>
      <c r="QE6" s="612">
        <f t="shared" ca="1" si="700"/>
        <v>41818</v>
      </c>
      <c r="QF6" s="612">
        <f t="shared" ca="1" si="700"/>
        <v>41819</v>
      </c>
      <c r="QG6" s="612">
        <f t="shared" ca="1" si="700"/>
        <v>41820</v>
      </c>
      <c r="QH6" s="612">
        <f t="shared" ca="1" si="700"/>
        <v>41821</v>
      </c>
      <c r="QI6" s="612">
        <f t="shared" ca="1" si="700"/>
        <v>41822</v>
      </c>
      <c r="QJ6" s="612">
        <f t="shared" ca="1" si="700"/>
        <v>41823</v>
      </c>
      <c r="QK6" s="612">
        <f t="shared" ca="1" si="700"/>
        <v>41824</v>
      </c>
      <c r="QL6" s="612">
        <f t="shared" ca="1" si="700"/>
        <v>41825</v>
      </c>
      <c r="QM6" s="612">
        <f t="shared" ca="1" si="700"/>
        <v>41826</v>
      </c>
      <c r="QN6" s="612">
        <f t="shared" ca="1" si="700"/>
        <v>41827</v>
      </c>
      <c r="QO6" s="612">
        <f t="shared" ca="1" si="700"/>
        <v>41828</v>
      </c>
      <c r="QP6" s="612">
        <f t="shared" ca="1" si="700"/>
        <v>41829</v>
      </c>
      <c r="QQ6" s="612">
        <f t="shared" ca="1" si="700"/>
        <v>41830</v>
      </c>
      <c r="QR6" s="612">
        <f t="shared" ref="QR6:TC6" ca="1" si="701">QQ$6+1</f>
        <v>41831</v>
      </c>
      <c r="QS6" s="612">
        <f t="shared" ca="1" si="701"/>
        <v>41832</v>
      </c>
      <c r="QT6" s="612">
        <f t="shared" ca="1" si="701"/>
        <v>41833</v>
      </c>
      <c r="QU6" s="612">
        <f t="shared" ca="1" si="701"/>
        <v>41834</v>
      </c>
      <c r="QV6" s="612">
        <f t="shared" ca="1" si="701"/>
        <v>41835</v>
      </c>
      <c r="QW6" s="612">
        <f t="shared" ca="1" si="701"/>
        <v>41836</v>
      </c>
      <c r="QX6" s="612">
        <f t="shared" ca="1" si="701"/>
        <v>41837</v>
      </c>
      <c r="QY6" s="612">
        <f t="shared" ca="1" si="701"/>
        <v>41838</v>
      </c>
      <c r="QZ6" s="612">
        <f t="shared" ca="1" si="701"/>
        <v>41839</v>
      </c>
      <c r="RA6" s="612">
        <f t="shared" ca="1" si="701"/>
        <v>41840</v>
      </c>
      <c r="RB6" s="612">
        <f t="shared" ca="1" si="701"/>
        <v>41841</v>
      </c>
      <c r="RC6" s="612">
        <f t="shared" ca="1" si="701"/>
        <v>41842</v>
      </c>
      <c r="RD6" s="612">
        <f t="shared" ca="1" si="701"/>
        <v>41843</v>
      </c>
      <c r="RE6" s="612">
        <f t="shared" ca="1" si="701"/>
        <v>41844</v>
      </c>
      <c r="RF6" s="612">
        <f t="shared" ca="1" si="701"/>
        <v>41845</v>
      </c>
      <c r="RG6" s="612">
        <f t="shared" ca="1" si="701"/>
        <v>41846</v>
      </c>
      <c r="RH6" s="612">
        <f t="shared" ca="1" si="701"/>
        <v>41847</v>
      </c>
      <c r="RI6" s="612">
        <f t="shared" ca="1" si="701"/>
        <v>41848</v>
      </c>
      <c r="RJ6" s="612">
        <f t="shared" ca="1" si="701"/>
        <v>41849</v>
      </c>
      <c r="RK6" s="612">
        <f t="shared" ca="1" si="701"/>
        <v>41850</v>
      </c>
      <c r="RL6" s="612">
        <f t="shared" ca="1" si="701"/>
        <v>41851</v>
      </c>
      <c r="RM6" s="612">
        <f t="shared" ca="1" si="701"/>
        <v>41852</v>
      </c>
      <c r="RN6" s="612">
        <f t="shared" ca="1" si="701"/>
        <v>41853</v>
      </c>
      <c r="RO6" s="612">
        <f t="shared" ca="1" si="701"/>
        <v>41854</v>
      </c>
      <c r="RP6" s="612">
        <f t="shared" ca="1" si="701"/>
        <v>41855</v>
      </c>
      <c r="RQ6" s="612">
        <f t="shared" ca="1" si="701"/>
        <v>41856</v>
      </c>
      <c r="RR6" s="612">
        <f t="shared" ca="1" si="701"/>
        <v>41857</v>
      </c>
      <c r="RS6" s="612">
        <f t="shared" ca="1" si="701"/>
        <v>41858</v>
      </c>
      <c r="RT6" s="612">
        <f t="shared" ca="1" si="701"/>
        <v>41859</v>
      </c>
      <c r="RU6" s="612">
        <f t="shared" ca="1" si="701"/>
        <v>41860</v>
      </c>
      <c r="RV6" s="612">
        <f t="shared" ca="1" si="701"/>
        <v>41861</v>
      </c>
      <c r="RW6" s="612">
        <f t="shared" ca="1" si="701"/>
        <v>41862</v>
      </c>
      <c r="RX6" s="612">
        <f t="shared" ca="1" si="701"/>
        <v>41863</v>
      </c>
      <c r="RY6" s="612">
        <f t="shared" ca="1" si="701"/>
        <v>41864</v>
      </c>
      <c r="RZ6" s="612">
        <f t="shared" ca="1" si="701"/>
        <v>41865</v>
      </c>
      <c r="SA6" s="612">
        <f t="shared" ca="1" si="701"/>
        <v>41866</v>
      </c>
      <c r="SB6" s="612">
        <f t="shared" ca="1" si="701"/>
        <v>41867</v>
      </c>
      <c r="SC6" s="612">
        <f t="shared" ca="1" si="701"/>
        <v>41868</v>
      </c>
      <c r="SD6" s="612">
        <f t="shared" ca="1" si="701"/>
        <v>41869</v>
      </c>
      <c r="SE6" s="612">
        <f t="shared" ca="1" si="701"/>
        <v>41870</v>
      </c>
      <c r="SF6" s="612">
        <f t="shared" ca="1" si="701"/>
        <v>41871</v>
      </c>
      <c r="SG6" s="612">
        <f t="shared" ca="1" si="701"/>
        <v>41872</v>
      </c>
      <c r="SH6" s="612">
        <f t="shared" ca="1" si="701"/>
        <v>41873</v>
      </c>
      <c r="SI6" s="612">
        <f t="shared" ca="1" si="701"/>
        <v>41874</v>
      </c>
      <c r="SJ6" s="612">
        <f t="shared" ca="1" si="701"/>
        <v>41875</v>
      </c>
      <c r="SK6" s="612">
        <f t="shared" ca="1" si="701"/>
        <v>41876</v>
      </c>
      <c r="SL6" s="612">
        <f t="shared" ca="1" si="701"/>
        <v>41877</v>
      </c>
      <c r="SM6" s="612">
        <f t="shared" ca="1" si="701"/>
        <v>41878</v>
      </c>
      <c r="SN6" s="612">
        <f t="shared" ca="1" si="701"/>
        <v>41879</v>
      </c>
      <c r="SO6" s="612">
        <f t="shared" ca="1" si="701"/>
        <v>41880</v>
      </c>
      <c r="SP6" s="612">
        <f t="shared" ca="1" si="701"/>
        <v>41881</v>
      </c>
      <c r="SQ6" s="612">
        <f t="shared" ca="1" si="701"/>
        <v>41882</v>
      </c>
      <c r="SR6" s="612">
        <f t="shared" ca="1" si="701"/>
        <v>41883</v>
      </c>
      <c r="SS6" s="612">
        <f t="shared" ca="1" si="701"/>
        <v>41884</v>
      </c>
      <c r="ST6" s="612">
        <f t="shared" ca="1" si="701"/>
        <v>41885</v>
      </c>
      <c r="SU6" s="612">
        <f t="shared" ca="1" si="701"/>
        <v>41886</v>
      </c>
      <c r="SV6" s="612">
        <f t="shared" ca="1" si="701"/>
        <v>41887</v>
      </c>
      <c r="SW6" s="612">
        <f t="shared" ca="1" si="701"/>
        <v>41888</v>
      </c>
      <c r="SX6" s="612">
        <f t="shared" ca="1" si="701"/>
        <v>41889</v>
      </c>
      <c r="SY6" s="612">
        <f t="shared" ca="1" si="701"/>
        <v>41890</v>
      </c>
      <c r="SZ6" s="612">
        <f t="shared" ca="1" si="701"/>
        <v>41891</v>
      </c>
      <c r="TA6" s="612">
        <f t="shared" ca="1" si="701"/>
        <v>41892</v>
      </c>
      <c r="TB6" s="612">
        <f t="shared" ca="1" si="701"/>
        <v>41893</v>
      </c>
      <c r="TC6" s="612">
        <f t="shared" ca="1" si="701"/>
        <v>41894</v>
      </c>
      <c r="TD6" s="612">
        <f t="shared" ref="TD6:VO6" ca="1" si="702">TC$6+1</f>
        <v>41895</v>
      </c>
      <c r="TE6" s="612">
        <f t="shared" ca="1" si="702"/>
        <v>41896</v>
      </c>
      <c r="TF6" s="612">
        <f t="shared" ca="1" si="702"/>
        <v>41897</v>
      </c>
      <c r="TG6" s="612">
        <f t="shared" ca="1" si="702"/>
        <v>41898</v>
      </c>
      <c r="TH6" s="612">
        <f t="shared" ca="1" si="702"/>
        <v>41899</v>
      </c>
      <c r="TI6" s="612">
        <f t="shared" ca="1" si="702"/>
        <v>41900</v>
      </c>
      <c r="TJ6" s="612">
        <f t="shared" ca="1" si="702"/>
        <v>41901</v>
      </c>
      <c r="TK6" s="612">
        <f t="shared" ca="1" si="702"/>
        <v>41902</v>
      </c>
      <c r="TL6" s="612">
        <f t="shared" ca="1" si="702"/>
        <v>41903</v>
      </c>
      <c r="TM6" s="612">
        <f t="shared" ca="1" si="702"/>
        <v>41904</v>
      </c>
      <c r="TN6" s="612">
        <f t="shared" ca="1" si="702"/>
        <v>41905</v>
      </c>
      <c r="TO6" s="612">
        <f t="shared" ca="1" si="702"/>
        <v>41906</v>
      </c>
      <c r="TP6" s="612">
        <f t="shared" ca="1" si="702"/>
        <v>41907</v>
      </c>
      <c r="TQ6" s="612">
        <f t="shared" ca="1" si="702"/>
        <v>41908</v>
      </c>
      <c r="TR6" s="612">
        <f t="shared" ca="1" si="702"/>
        <v>41909</v>
      </c>
      <c r="TS6" s="612">
        <f t="shared" ca="1" si="702"/>
        <v>41910</v>
      </c>
      <c r="TT6" s="612">
        <f t="shared" ca="1" si="702"/>
        <v>41911</v>
      </c>
      <c r="TU6" s="612">
        <f t="shared" ca="1" si="702"/>
        <v>41912</v>
      </c>
      <c r="TV6" s="612">
        <f t="shared" ca="1" si="702"/>
        <v>41913</v>
      </c>
      <c r="TW6" s="612">
        <f t="shared" ca="1" si="702"/>
        <v>41914</v>
      </c>
      <c r="TX6" s="612">
        <f t="shared" ca="1" si="702"/>
        <v>41915</v>
      </c>
      <c r="TY6" s="612">
        <f t="shared" ca="1" si="702"/>
        <v>41916</v>
      </c>
      <c r="TZ6" s="612">
        <f t="shared" ca="1" si="702"/>
        <v>41917</v>
      </c>
      <c r="UA6" s="612">
        <f t="shared" ca="1" si="702"/>
        <v>41918</v>
      </c>
      <c r="UB6" s="612">
        <f t="shared" ca="1" si="702"/>
        <v>41919</v>
      </c>
      <c r="UC6" s="612">
        <f t="shared" ca="1" si="702"/>
        <v>41920</v>
      </c>
      <c r="UD6" s="612">
        <f t="shared" ca="1" si="702"/>
        <v>41921</v>
      </c>
      <c r="UE6" s="612">
        <f t="shared" ca="1" si="702"/>
        <v>41922</v>
      </c>
      <c r="UF6" s="612">
        <f t="shared" ca="1" si="702"/>
        <v>41923</v>
      </c>
      <c r="UG6" s="612">
        <f t="shared" ca="1" si="702"/>
        <v>41924</v>
      </c>
      <c r="UH6" s="612">
        <f t="shared" ca="1" si="702"/>
        <v>41925</v>
      </c>
      <c r="UI6" s="612">
        <f t="shared" ca="1" si="702"/>
        <v>41926</v>
      </c>
      <c r="UJ6" s="612">
        <f t="shared" ca="1" si="702"/>
        <v>41927</v>
      </c>
      <c r="UK6" s="612">
        <f t="shared" ca="1" si="702"/>
        <v>41928</v>
      </c>
      <c r="UL6" s="612">
        <f t="shared" ca="1" si="702"/>
        <v>41929</v>
      </c>
      <c r="UM6" s="612">
        <f t="shared" ca="1" si="702"/>
        <v>41930</v>
      </c>
      <c r="UN6" s="612">
        <f t="shared" ca="1" si="702"/>
        <v>41931</v>
      </c>
      <c r="UO6" s="612">
        <f t="shared" ca="1" si="702"/>
        <v>41932</v>
      </c>
      <c r="UP6" s="612">
        <f t="shared" ca="1" si="702"/>
        <v>41933</v>
      </c>
      <c r="UQ6" s="612">
        <f t="shared" ca="1" si="702"/>
        <v>41934</v>
      </c>
      <c r="UR6" s="612">
        <f t="shared" ca="1" si="702"/>
        <v>41935</v>
      </c>
      <c r="US6" s="612">
        <f t="shared" ca="1" si="702"/>
        <v>41936</v>
      </c>
      <c r="UT6" s="612">
        <f t="shared" ca="1" si="702"/>
        <v>41937</v>
      </c>
      <c r="UU6" s="612">
        <f t="shared" ca="1" si="702"/>
        <v>41938</v>
      </c>
      <c r="UV6" s="612">
        <f t="shared" ca="1" si="702"/>
        <v>41939</v>
      </c>
      <c r="UW6" s="612">
        <f t="shared" ca="1" si="702"/>
        <v>41940</v>
      </c>
      <c r="UX6" s="612">
        <f t="shared" ca="1" si="702"/>
        <v>41941</v>
      </c>
      <c r="UY6" s="612">
        <f t="shared" ca="1" si="702"/>
        <v>41942</v>
      </c>
      <c r="UZ6" s="612">
        <f t="shared" ca="1" si="702"/>
        <v>41943</v>
      </c>
      <c r="VA6" s="612">
        <f t="shared" ca="1" si="702"/>
        <v>41944</v>
      </c>
      <c r="VB6" s="612">
        <f t="shared" ca="1" si="702"/>
        <v>41945</v>
      </c>
      <c r="VC6" s="612">
        <f t="shared" ca="1" si="702"/>
        <v>41946</v>
      </c>
      <c r="VD6" s="612">
        <f t="shared" ca="1" si="702"/>
        <v>41947</v>
      </c>
      <c r="VE6" s="612">
        <f t="shared" ca="1" si="702"/>
        <v>41948</v>
      </c>
      <c r="VF6" s="612">
        <f t="shared" ca="1" si="702"/>
        <v>41949</v>
      </c>
      <c r="VG6" s="612">
        <f t="shared" ca="1" si="702"/>
        <v>41950</v>
      </c>
      <c r="VH6" s="612">
        <f t="shared" ca="1" si="702"/>
        <v>41951</v>
      </c>
      <c r="VI6" s="612">
        <f t="shared" ca="1" si="702"/>
        <v>41952</v>
      </c>
      <c r="VJ6" s="612">
        <f t="shared" ca="1" si="702"/>
        <v>41953</v>
      </c>
      <c r="VK6" s="612">
        <f t="shared" ca="1" si="702"/>
        <v>41954</v>
      </c>
      <c r="VL6" s="612">
        <f t="shared" ca="1" si="702"/>
        <v>41955</v>
      </c>
      <c r="VM6" s="612">
        <f t="shared" ca="1" si="702"/>
        <v>41956</v>
      </c>
      <c r="VN6" s="612">
        <f t="shared" ca="1" si="702"/>
        <v>41957</v>
      </c>
      <c r="VO6" s="612">
        <f t="shared" ca="1" si="702"/>
        <v>41958</v>
      </c>
      <c r="VP6" s="612">
        <f t="shared" ref="VP6:YA6" ca="1" si="703">VO$6+1</f>
        <v>41959</v>
      </c>
      <c r="VQ6" s="612">
        <f t="shared" ca="1" si="703"/>
        <v>41960</v>
      </c>
      <c r="VR6" s="612">
        <f t="shared" ca="1" si="703"/>
        <v>41961</v>
      </c>
      <c r="VS6" s="612">
        <f t="shared" ca="1" si="703"/>
        <v>41962</v>
      </c>
      <c r="VT6" s="612">
        <f t="shared" ca="1" si="703"/>
        <v>41963</v>
      </c>
      <c r="VU6" s="612">
        <f t="shared" ca="1" si="703"/>
        <v>41964</v>
      </c>
      <c r="VV6" s="612">
        <f t="shared" ca="1" si="703"/>
        <v>41965</v>
      </c>
      <c r="VW6" s="612">
        <f t="shared" ca="1" si="703"/>
        <v>41966</v>
      </c>
      <c r="VX6" s="612">
        <f t="shared" ca="1" si="703"/>
        <v>41967</v>
      </c>
      <c r="VY6" s="612">
        <f t="shared" ca="1" si="703"/>
        <v>41968</v>
      </c>
      <c r="VZ6" s="612">
        <f t="shared" ca="1" si="703"/>
        <v>41969</v>
      </c>
      <c r="WA6" s="612">
        <f t="shared" ca="1" si="703"/>
        <v>41970</v>
      </c>
      <c r="WB6" s="612">
        <f t="shared" ca="1" si="703"/>
        <v>41971</v>
      </c>
      <c r="WC6" s="612">
        <f t="shared" ca="1" si="703"/>
        <v>41972</v>
      </c>
      <c r="WD6" s="612">
        <f t="shared" ca="1" si="703"/>
        <v>41973</v>
      </c>
      <c r="WE6" s="612">
        <f t="shared" ca="1" si="703"/>
        <v>41974</v>
      </c>
      <c r="WF6" s="612">
        <f t="shared" ca="1" si="703"/>
        <v>41975</v>
      </c>
      <c r="WG6" s="612">
        <f t="shared" ca="1" si="703"/>
        <v>41976</v>
      </c>
      <c r="WH6" s="612">
        <f t="shared" ca="1" si="703"/>
        <v>41977</v>
      </c>
      <c r="WI6" s="612">
        <f t="shared" ca="1" si="703"/>
        <v>41978</v>
      </c>
      <c r="WJ6" s="612">
        <f t="shared" ca="1" si="703"/>
        <v>41979</v>
      </c>
      <c r="WK6" s="612">
        <f t="shared" ca="1" si="703"/>
        <v>41980</v>
      </c>
      <c r="WL6" s="612">
        <f t="shared" ca="1" si="703"/>
        <v>41981</v>
      </c>
      <c r="WM6" s="612">
        <f t="shared" ca="1" si="703"/>
        <v>41982</v>
      </c>
      <c r="WN6" s="612">
        <f t="shared" ca="1" si="703"/>
        <v>41983</v>
      </c>
      <c r="WO6" s="612">
        <f t="shared" ca="1" si="703"/>
        <v>41984</v>
      </c>
      <c r="WP6" s="612">
        <f t="shared" ca="1" si="703"/>
        <v>41985</v>
      </c>
      <c r="WQ6" s="612">
        <f t="shared" ca="1" si="703"/>
        <v>41986</v>
      </c>
      <c r="WR6" s="612">
        <f t="shared" ca="1" si="703"/>
        <v>41987</v>
      </c>
      <c r="WS6" s="612">
        <f t="shared" ca="1" si="703"/>
        <v>41988</v>
      </c>
      <c r="WT6" s="612">
        <f t="shared" ca="1" si="703"/>
        <v>41989</v>
      </c>
      <c r="WU6" s="612">
        <f t="shared" ca="1" si="703"/>
        <v>41990</v>
      </c>
      <c r="WV6" s="612">
        <f t="shared" ca="1" si="703"/>
        <v>41991</v>
      </c>
      <c r="WW6" s="612">
        <f t="shared" ca="1" si="703"/>
        <v>41992</v>
      </c>
      <c r="WX6" s="612">
        <f t="shared" ca="1" si="703"/>
        <v>41993</v>
      </c>
      <c r="WY6" s="612">
        <f t="shared" ca="1" si="703"/>
        <v>41994</v>
      </c>
      <c r="WZ6" s="612">
        <f t="shared" ca="1" si="703"/>
        <v>41995</v>
      </c>
      <c r="XA6" s="612">
        <f t="shared" ca="1" si="703"/>
        <v>41996</v>
      </c>
      <c r="XB6" s="612">
        <f t="shared" ca="1" si="703"/>
        <v>41997</v>
      </c>
      <c r="XC6" s="612">
        <f t="shared" ca="1" si="703"/>
        <v>41998</v>
      </c>
      <c r="XD6" s="612">
        <f t="shared" ca="1" si="703"/>
        <v>41999</v>
      </c>
      <c r="XE6" s="612">
        <f t="shared" ca="1" si="703"/>
        <v>42000</v>
      </c>
      <c r="XF6" s="612">
        <f t="shared" ca="1" si="703"/>
        <v>42001</v>
      </c>
      <c r="XG6" s="612">
        <f t="shared" ca="1" si="703"/>
        <v>42002</v>
      </c>
      <c r="XH6" s="612">
        <f t="shared" ca="1" si="703"/>
        <v>42003</v>
      </c>
      <c r="XI6" s="612">
        <f t="shared" ca="1" si="703"/>
        <v>42004</v>
      </c>
      <c r="XJ6" s="612">
        <f t="shared" ca="1" si="703"/>
        <v>42005</v>
      </c>
      <c r="XK6" s="612">
        <f t="shared" ca="1" si="703"/>
        <v>42006</v>
      </c>
      <c r="XL6" s="612">
        <f t="shared" ca="1" si="703"/>
        <v>42007</v>
      </c>
      <c r="XM6" s="612">
        <f t="shared" ca="1" si="703"/>
        <v>42008</v>
      </c>
      <c r="XN6" s="612">
        <f t="shared" ca="1" si="703"/>
        <v>42009</v>
      </c>
      <c r="XO6" s="612">
        <f t="shared" ca="1" si="703"/>
        <v>42010</v>
      </c>
      <c r="XP6" s="612">
        <f t="shared" ca="1" si="703"/>
        <v>42011</v>
      </c>
      <c r="XQ6" s="612">
        <f t="shared" ca="1" si="703"/>
        <v>42012</v>
      </c>
      <c r="XR6" s="612">
        <f t="shared" ca="1" si="703"/>
        <v>42013</v>
      </c>
      <c r="XS6" s="612">
        <f t="shared" ca="1" si="703"/>
        <v>42014</v>
      </c>
      <c r="XT6" s="612">
        <f t="shared" ca="1" si="703"/>
        <v>42015</v>
      </c>
      <c r="XU6" s="612">
        <f t="shared" ca="1" si="703"/>
        <v>42016</v>
      </c>
      <c r="XV6" s="612">
        <f t="shared" ca="1" si="703"/>
        <v>42017</v>
      </c>
      <c r="XW6" s="612">
        <f t="shared" ca="1" si="703"/>
        <v>42018</v>
      </c>
      <c r="XX6" s="612">
        <f t="shared" ca="1" si="703"/>
        <v>42019</v>
      </c>
      <c r="XY6" s="612">
        <f t="shared" ca="1" si="703"/>
        <v>42020</v>
      </c>
      <c r="XZ6" s="612">
        <f t="shared" ca="1" si="703"/>
        <v>42021</v>
      </c>
      <c r="YA6" s="612">
        <f t="shared" ca="1" si="703"/>
        <v>42022</v>
      </c>
      <c r="YB6" s="612">
        <f t="shared" ref="YB6:ZZ6" ca="1" si="704">YA$6+1</f>
        <v>42023</v>
      </c>
      <c r="YC6" s="612">
        <f t="shared" ca="1" si="704"/>
        <v>42024</v>
      </c>
      <c r="YD6" s="612">
        <f t="shared" ca="1" si="704"/>
        <v>42025</v>
      </c>
      <c r="YE6" s="612">
        <f t="shared" ca="1" si="704"/>
        <v>42026</v>
      </c>
      <c r="YF6" s="612">
        <f t="shared" ca="1" si="704"/>
        <v>42027</v>
      </c>
      <c r="YG6" s="612">
        <f t="shared" ca="1" si="704"/>
        <v>42028</v>
      </c>
      <c r="YH6" s="612">
        <f t="shared" ca="1" si="704"/>
        <v>42029</v>
      </c>
      <c r="YI6" s="612">
        <f t="shared" ca="1" si="704"/>
        <v>42030</v>
      </c>
      <c r="YJ6" s="612">
        <f t="shared" ca="1" si="704"/>
        <v>42031</v>
      </c>
      <c r="YK6" s="612">
        <f t="shared" ca="1" si="704"/>
        <v>42032</v>
      </c>
      <c r="YL6" s="612">
        <f t="shared" ca="1" si="704"/>
        <v>42033</v>
      </c>
      <c r="YM6" s="612">
        <f t="shared" ca="1" si="704"/>
        <v>42034</v>
      </c>
      <c r="YN6" s="612">
        <f t="shared" ca="1" si="704"/>
        <v>42035</v>
      </c>
      <c r="YO6" s="612">
        <f t="shared" ca="1" si="704"/>
        <v>42036</v>
      </c>
      <c r="YP6" s="612">
        <f t="shared" ca="1" si="704"/>
        <v>42037</v>
      </c>
      <c r="YQ6" s="612">
        <f t="shared" ca="1" si="704"/>
        <v>42038</v>
      </c>
      <c r="YR6" s="612">
        <f t="shared" ca="1" si="704"/>
        <v>42039</v>
      </c>
      <c r="YS6" s="612">
        <f t="shared" ca="1" si="704"/>
        <v>42040</v>
      </c>
      <c r="YT6" s="612">
        <f t="shared" ca="1" si="704"/>
        <v>42041</v>
      </c>
      <c r="YU6" s="612">
        <f t="shared" ca="1" si="704"/>
        <v>42042</v>
      </c>
      <c r="YV6" s="612">
        <f t="shared" ca="1" si="704"/>
        <v>42043</v>
      </c>
      <c r="YW6" s="612">
        <f t="shared" ca="1" si="704"/>
        <v>42044</v>
      </c>
      <c r="YX6" s="612">
        <f t="shared" ca="1" si="704"/>
        <v>42045</v>
      </c>
      <c r="YY6" s="612">
        <f t="shared" ca="1" si="704"/>
        <v>42046</v>
      </c>
      <c r="YZ6" s="612">
        <f t="shared" ca="1" si="704"/>
        <v>42047</v>
      </c>
      <c r="ZA6" s="612">
        <f t="shared" ca="1" si="704"/>
        <v>42048</v>
      </c>
      <c r="ZB6" s="612">
        <f t="shared" ca="1" si="704"/>
        <v>42049</v>
      </c>
      <c r="ZC6" s="612">
        <f t="shared" ca="1" si="704"/>
        <v>42050</v>
      </c>
      <c r="ZD6" s="612">
        <f t="shared" ca="1" si="704"/>
        <v>42051</v>
      </c>
      <c r="ZE6" s="612">
        <f t="shared" ca="1" si="704"/>
        <v>42052</v>
      </c>
      <c r="ZF6" s="612">
        <f t="shared" ca="1" si="704"/>
        <v>42053</v>
      </c>
      <c r="ZG6" s="612">
        <f t="shared" ca="1" si="704"/>
        <v>42054</v>
      </c>
      <c r="ZH6" s="612">
        <f t="shared" ca="1" si="704"/>
        <v>42055</v>
      </c>
      <c r="ZI6" s="612">
        <f t="shared" ca="1" si="704"/>
        <v>42056</v>
      </c>
      <c r="ZJ6" s="612">
        <f t="shared" ca="1" si="704"/>
        <v>42057</v>
      </c>
      <c r="ZK6" s="612">
        <f t="shared" ca="1" si="704"/>
        <v>42058</v>
      </c>
      <c r="ZL6" s="612">
        <f t="shared" ca="1" si="704"/>
        <v>42059</v>
      </c>
      <c r="ZM6" s="612">
        <f t="shared" ca="1" si="704"/>
        <v>42060</v>
      </c>
      <c r="ZN6" s="612">
        <f t="shared" ca="1" si="704"/>
        <v>42061</v>
      </c>
      <c r="ZO6" s="612">
        <f t="shared" ca="1" si="704"/>
        <v>42062</v>
      </c>
      <c r="ZP6" s="612">
        <f t="shared" ca="1" si="704"/>
        <v>42063</v>
      </c>
      <c r="ZQ6" s="612">
        <f t="shared" ca="1" si="704"/>
        <v>42064</v>
      </c>
      <c r="ZR6" s="612">
        <f t="shared" ca="1" si="704"/>
        <v>42065</v>
      </c>
      <c r="ZS6" s="612">
        <f t="shared" ca="1" si="704"/>
        <v>42066</v>
      </c>
      <c r="ZT6" s="612">
        <f t="shared" ca="1" si="704"/>
        <v>42067</v>
      </c>
      <c r="ZU6" s="612">
        <f t="shared" ca="1" si="704"/>
        <v>42068</v>
      </c>
      <c r="ZV6" s="612">
        <f t="shared" ca="1" si="704"/>
        <v>42069</v>
      </c>
      <c r="ZW6" s="612">
        <f t="shared" ca="1" si="704"/>
        <v>42070</v>
      </c>
      <c r="ZX6" s="612">
        <f t="shared" ca="1" si="704"/>
        <v>42071</v>
      </c>
      <c r="ZY6" s="612">
        <f t="shared" ca="1" si="704"/>
        <v>42072</v>
      </c>
      <c r="ZZ6" s="612">
        <f t="shared" ca="1" si="704"/>
        <v>42073</v>
      </c>
      <c r="AAA6" s="590"/>
      <c r="AAB6"/>
      <c r="AAC6"/>
      <c r="AAD6" s="113"/>
      <c r="AAE6" s="553" t="s">
        <v>276</v>
      </c>
      <c r="AAF6" s="585" t="s">
        <v>199</v>
      </c>
      <c r="AAG6" s="78">
        <f ca="1">WORKDAY(TODAY()-1,1,S.DDL_DEQClosed)</f>
        <v>41381</v>
      </c>
      <c r="AAH6" s="78">
        <f>S.BANNER.PostEQCEnd</f>
        <v>41624</v>
      </c>
      <c r="AAI6" s="77"/>
      <c r="AAJ6" s="99">
        <v>1</v>
      </c>
      <c r="AAK6" s="581">
        <f>IF(S.RuleType=2,14,28)</f>
        <v>28</v>
      </c>
      <c r="AAL6" s="76"/>
      <c r="AAM6" s="113"/>
      <c r="AAU6" s="44"/>
      <c r="ABK6" s="776"/>
      <c r="ABL6" s="776"/>
      <c r="ABM6" s="776"/>
      <c r="ABN6" s="776"/>
      <c r="ABO6" s="776"/>
      <c r="ABP6" s="776"/>
      <c r="ABQ6" s="776"/>
    </row>
    <row r="7" spans="1:745" ht="6" customHeight="1">
      <c r="A7" s="601"/>
      <c r="B7" s="207"/>
      <c r="C7" s="696"/>
      <c r="D7" s="181"/>
      <c r="E7" s="182"/>
      <c r="F7" s="182"/>
      <c r="G7" s="181"/>
      <c r="H7" s="181"/>
      <c r="I7" s="590"/>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90"/>
      <c r="AAD7" s="113"/>
      <c r="AAE7" s="553" t="s">
        <v>22</v>
      </c>
      <c r="AAF7" s="585" t="s">
        <v>199</v>
      </c>
      <c r="AAG7" s="76"/>
      <c r="AAH7" s="76"/>
      <c r="AAI7" s="76"/>
      <c r="AAJ7" s="510"/>
      <c r="AAK7" s="577"/>
      <c r="AAL7" s="40"/>
      <c r="AAM7" s="113"/>
      <c r="AAN7"/>
      <c r="AAT7" s="23"/>
      <c r="AAU7" s="44"/>
    </row>
    <row r="8" spans="1:745" s="23" customFormat="1" ht="6" customHeight="1">
      <c r="A8" s="601"/>
      <c r="B8" s="145"/>
      <c r="C8" s="697"/>
      <c r="D8" s="146"/>
      <c r="E8" s="147"/>
      <c r="F8" s="147"/>
      <c r="G8" s="146"/>
      <c r="H8" s="146"/>
      <c r="I8" s="590"/>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90"/>
      <c r="AAB8"/>
      <c r="AAC8"/>
      <c r="AAD8" s="113"/>
      <c r="AAE8" s="553">
        <v>0</v>
      </c>
      <c r="AAF8" s="585" t="s">
        <v>199</v>
      </c>
      <c r="AAG8" s="76"/>
      <c r="AAH8" s="76"/>
      <c r="AAI8" s="76"/>
      <c r="AAJ8" s="510"/>
      <c r="AAK8" s="577"/>
      <c r="AAL8" s="40" t="s">
        <v>275</v>
      </c>
      <c r="AAM8" s="113"/>
      <c r="AAU8" s="44"/>
    </row>
    <row r="9" spans="1:745" ht="21" customHeight="1">
      <c r="A9" s="560"/>
      <c r="B9" s="121" t="s">
        <v>280</v>
      </c>
      <c r="C9" s="122"/>
      <c r="D9" s="122"/>
      <c r="E9" s="122"/>
      <c r="F9"/>
      <c r="G9"/>
      <c r="H9" s="537" t="s">
        <v>0</v>
      </c>
      <c r="I9" s="590"/>
      <c r="J9" s="63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9"/>
      <c r="ZZ9" s="624"/>
      <c r="AAA9" s="590"/>
      <c r="AAD9" s="113"/>
      <c r="AAE9" s="553">
        <v>1</v>
      </c>
      <c r="AAF9" s="585" t="s">
        <v>199</v>
      </c>
      <c r="AAG9" s="78">
        <f ca="1">IF(TODAY()&lt;DDLs!A4,DDLs!A4,VLOOKUP(TODAY(),VL_EQCActivities,4,TRUE))</f>
        <v>91</v>
      </c>
      <c r="AAH9" s="77"/>
      <c r="AAI9" s="77"/>
      <c r="AAJ9" s="65"/>
      <c r="AAK9" s="578"/>
      <c r="AAL9" s="119"/>
      <c r="AAM9" s="113"/>
      <c r="AAN9"/>
      <c r="AAO9" s="107">
        <f>S.BANNER.OverviewStart</f>
        <v>41369</v>
      </c>
    </row>
    <row r="10" spans="1:745" s="23" customFormat="1" ht="26.25" customHeight="1">
      <c r="A10" s="601"/>
      <c r="B10" s="121"/>
      <c r="C10" s="691"/>
      <c r="D10" s="122"/>
      <c r="E10" s="122"/>
      <c r="F10"/>
      <c r="G10"/>
      <c r="H10"/>
      <c r="I10" s="590"/>
      <c r="J10" s="593"/>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9"/>
      <c r="ZZ10" s="624"/>
      <c r="AAA10" s="590"/>
      <c r="AAB10"/>
      <c r="AAC10"/>
      <c r="AAD10" s="113"/>
      <c r="AAE10" s="553">
        <v>0</v>
      </c>
      <c r="AAF10" s="585" t="s">
        <v>199</v>
      </c>
      <c r="AAG10" s="113"/>
      <c r="AAH10" s="77"/>
      <c r="AAI10" s="77"/>
      <c r="AAJ10" s="114"/>
      <c r="AAK10" s="578"/>
      <c r="AAL10" s="39"/>
      <c r="AAM10" s="113"/>
      <c r="AAT10" s="336" t="s">
        <v>0</v>
      </c>
    </row>
    <row r="11" spans="1:745" s="23" customFormat="1" ht="16.5" customHeight="1">
      <c r="A11" s="601"/>
      <c r="B11" s="540" t="s">
        <v>316</v>
      </c>
      <c r="C11" s="698"/>
      <c r="D11" s="540"/>
      <c r="E11" s="541"/>
      <c r="F11" s="322">
        <f ca="1">NETWORKDAYS(TODAY(),H11,S.DDL_DEQClosed)</f>
        <v>126</v>
      </c>
      <c r="G11" s="592">
        <f>S.EQCMeeting</f>
        <v>41563</v>
      </c>
      <c r="H11" s="587">
        <v>41563</v>
      </c>
      <c r="I11" s="629"/>
      <c r="J11" s="593"/>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90"/>
      <c r="AAB11"/>
      <c r="AAC11"/>
      <c r="AAD11" s="113"/>
      <c r="AAE11" s="553">
        <v>1</v>
      </c>
      <c r="AAF11" s="113"/>
      <c r="AAG11" s="65"/>
      <c r="AAH11" s="78">
        <f>VLOOKUP(WORKDAY(S.BANNER.OverviewStart,AAK36,S.DDL_DEQClosed),VL_EQCActivities,5,TRUE)</f>
        <v>41563</v>
      </c>
      <c r="AAI11" s="65"/>
      <c r="AAJ11" s="77"/>
      <c r="AAK11" s="65"/>
      <c r="AAL11" s="77"/>
      <c r="AAM11" s="113"/>
      <c r="AAO11" s="109" t="s">
        <v>253</v>
      </c>
      <c r="AAP11" s="337">
        <f t="shared" ref="AAP11:AAS11" si="705">AAP20/30</f>
        <v>7.4666666666666668</v>
      </c>
      <c r="AAQ11" s="337">
        <f t="shared" si="705"/>
        <v>6.7333333333333334</v>
      </c>
      <c r="AAR11" s="337">
        <f t="shared" si="705"/>
        <v>6</v>
      </c>
      <c r="AAS11" s="337">
        <f t="shared" si="705"/>
        <v>5.2666666666666666</v>
      </c>
      <c r="AAX11" s="23" t="s">
        <v>269</v>
      </c>
      <c r="AAY11" s="23" t="s">
        <v>269</v>
      </c>
      <c r="AAZ11" s="23" t="s">
        <v>269</v>
      </c>
      <c r="ABA11" s="23" t="s">
        <v>269</v>
      </c>
      <c r="ABB11" s="23" t="s">
        <v>0</v>
      </c>
    </row>
    <row r="12" spans="1:745" s="23" customFormat="1" ht="16.5" customHeight="1">
      <c r="A12" s="601"/>
      <c r="B12" s="755" t="str">
        <f>AAL12</f>
        <v>INVOLVED before Rulemaking Action Item</v>
      </c>
      <c r="C12" s="755"/>
      <c r="D12" s="755"/>
      <c r="E12" s="126"/>
      <c r="F12" s="213"/>
      <c r="G12" s="537" t="s">
        <v>311</v>
      </c>
      <c r="H12" s="537" t="s">
        <v>310</v>
      </c>
      <c r="I12" s="629"/>
      <c r="J12" s="594"/>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20"/>
      <c r="ZZ12" s="36"/>
      <c r="AAA12" s="590"/>
      <c r="AAB12"/>
      <c r="AAC12"/>
      <c r="AAD12" s="113"/>
      <c r="AAE12" s="554">
        <f>IF(AAJ12=TRUE,1,0)</f>
        <v>1</v>
      </c>
      <c r="AAF12" s="585" t="s">
        <v>199</v>
      </c>
      <c r="AAG12" s="65"/>
      <c r="AAH12" s="65"/>
      <c r="AAI12" s="65"/>
      <c r="AAJ12" s="81" t="b">
        <f>IF(OR(S.InvolveEQCDirDialog=TRUE,S.InvolveEQCInfoItem=TRUE,S.InvolveEQCFacHearing=TRUE),TRUE,FALSE)</f>
        <v>1</v>
      </c>
      <c r="AAK12" s="525"/>
      <c r="AAL12" s="81" t="str">
        <f>IF(AAJ12=TRUE,"INVOLVED before Rulemaking Action Item","NOT INVOLVED before Rulemaking Action Item")</f>
        <v>INVOLVED before Rulemaking Action Item</v>
      </c>
      <c r="AAM12" s="113"/>
      <c r="AAN12" s="53"/>
      <c r="AAO12" s="338" t="s">
        <v>0</v>
      </c>
      <c r="AAP12" s="107" t="s">
        <v>263</v>
      </c>
      <c r="AAQ12" s="107" t="s">
        <v>260</v>
      </c>
      <c r="AAR12" s="107" t="s">
        <v>261</v>
      </c>
      <c r="AAS12" s="107" t="s">
        <v>262</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01"/>
      <c r="B13" s="127" t="s">
        <v>252</v>
      </c>
      <c r="C13" s="699"/>
      <c r="D13" s="786" t="str">
        <f>AAI13</f>
        <v/>
      </c>
      <c r="E13" s="786"/>
      <c r="F13" s="322">
        <f t="shared" ref="F13:F15" ca="1" si="706">NETWORKDAYS(TODAY(),H13,S.DDL_DEQClosed)</f>
        <v>87</v>
      </c>
      <c r="G13" s="588">
        <v>41444</v>
      </c>
      <c r="H13" s="588">
        <v>41507</v>
      </c>
      <c r="I13" s="629"/>
      <c r="J13" s="594"/>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90"/>
      <c r="AAB13"/>
      <c r="AAC13"/>
      <c r="AAD13" s="113"/>
      <c r="AAE13" s="554">
        <f>IF(AAJ13=TRUE,1,0)</f>
        <v>1</v>
      </c>
      <c r="AAF13" s="586" t="s">
        <v>0</v>
      </c>
      <c r="AAG13" s="78">
        <f>VLOOKUP(S.EQCMeeting,VL_EQCActivities,6,FALSE)</f>
        <v>41507</v>
      </c>
      <c r="AAH13" s="78">
        <f>G13</f>
        <v>41444</v>
      </c>
      <c r="AAI13" s="573" t="str">
        <f>IF(OR(G13&gt;=S.EQCMeeting,H13&gt;=S.EQCMeeting),"Must be less than H13","")</f>
        <v/>
      </c>
      <c r="AAJ13" s="81" t="b">
        <v>1</v>
      </c>
      <c r="AAK13" s="525"/>
      <c r="AAL13" s="65"/>
      <c r="AAM13" s="113"/>
      <c r="AAO13" s="110" t="s">
        <v>264</v>
      </c>
      <c r="AAP13" s="108">
        <f>IF(S.RuleType=1,28,21)</f>
        <v>28</v>
      </c>
      <c r="AAQ13" s="108">
        <f>IF(S.RuleType=1,21,14)</f>
        <v>21</v>
      </c>
      <c r="AAR13" s="108">
        <f>IF(S.RuleType=1,14,7)</f>
        <v>14</v>
      </c>
      <c r="AAS13" s="108">
        <f>IF(S.RuleType=1,7,0)</f>
        <v>7</v>
      </c>
      <c r="AAU13" s="512" t="s">
        <v>24</v>
      </c>
      <c r="AAV13" s="514" t="s">
        <v>268</v>
      </c>
      <c r="AAW13" s="512"/>
      <c r="AAX13" s="512" t="s">
        <v>1</v>
      </c>
      <c r="AAY13" s="513" t="s">
        <v>266</v>
      </c>
      <c r="AAZ13" s="514" t="s">
        <v>265</v>
      </c>
      <c r="ABA13" s="516" t="s">
        <v>258</v>
      </c>
      <c r="ABB13" s="512" t="s">
        <v>145</v>
      </c>
      <c r="ABC13" s="508" t="s">
        <v>270</v>
      </c>
      <c r="ABD13" s="508" t="s">
        <v>292</v>
      </c>
    </row>
    <row r="14" spans="1:745" s="23" customFormat="1" ht="16.7" customHeight="1">
      <c r="A14" s="601"/>
      <c r="B14" s="127" t="s">
        <v>249</v>
      </c>
      <c r="C14" s="699"/>
      <c r="D14" s="786" t="str">
        <f t="shared" ref="D14:D15" si="707">AAI14</f>
        <v/>
      </c>
      <c r="E14" s="786"/>
      <c r="F14" s="322">
        <f t="shared" ca="1" si="706"/>
        <v>87</v>
      </c>
      <c r="G14" s="588">
        <f t="shared" ref="G14:G15" si="708">AAG14</f>
        <v>41507</v>
      </c>
      <c r="H14" s="588">
        <f t="shared" ref="H14:H15" si="709">AAH14</f>
        <v>41507</v>
      </c>
      <c r="I14" s="629"/>
      <c r="J14" s="594"/>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90"/>
      <c r="AAB14"/>
      <c r="AAC14"/>
      <c r="AAD14" s="113"/>
      <c r="AAE14" s="554">
        <f>IF(AAJ14=TRUE,1,0)</f>
        <v>0</v>
      </c>
      <c r="AAF14" s="586" t="s">
        <v>0</v>
      </c>
      <c r="AAG14" s="78">
        <f>VLOOKUP(S.EQCMeeting,VL_EQCActivities,6,FALSE)</f>
        <v>41507</v>
      </c>
      <c r="AAH14" s="78">
        <f t="shared" ref="AAH14:AAH15" si="710">G14</f>
        <v>41507</v>
      </c>
      <c r="AAI14" s="573" t="str">
        <f>IF(OR(G14&gt;=S.EQCMeeting,H14&gt;=S.EQCMeeting),"Must be less than H13","")</f>
        <v/>
      </c>
      <c r="AAJ14" s="81" t="b">
        <v>0</v>
      </c>
      <c r="AAK14" s="525"/>
      <c r="AAL14" s="76"/>
      <c r="AAM14" s="113"/>
      <c r="AAO14" s="110" t="s">
        <v>254</v>
      </c>
      <c r="AAP14" s="108">
        <f>IF(S.InvolveSIP=TRUE,25,0)</f>
        <v>0</v>
      </c>
      <c r="AAQ14" s="108">
        <f>IF(S.InvolveSIP=TRUE,20,0)</f>
        <v>0</v>
      </c>
      <c r="AAR14" s="108">
        <f>IF(S.InvolveSIP=TRUE,15,0)</f>
        <v>0</v>
      </c>
      <c r="AAS14" s="108">
        <f>IF(S.InvolveSIP=TRUE,10,0)</f>
        <v>0</v>
      </c>
      <c r="AAT14" s="23" t="s">
        <v>0</v>
      </c>
      <c r="AAU14" s="512"/>
      <c r="AAV14" s="514"/>
      <c r="AAW14" s="512" t="s">
        <v>255</v>
      </c>
      <c r="AAX14" s="512"/>
      <c r="AAY14" s="509"/>
      <c r="AAZ14" s="515"/>
      <c r="ABA14" s="516"/>
      <c r="ABB14" s="512"/>
      <c r="ABC14" s="509"/>
      <c r="ABD14" s="509"/>
    </row>
    <row r="15" spans="1:745" s="23" customFormat="1" ht="15.75" customHeight="1">
      <c r="A15" s="601"/>
      <c r="B15" s="129" t="str">
        <f>AAL15</f>
        <v>Facilitated Hearing</v>
      </c>
      <c r="C15" s="699"/>
      <c r="D15" s="786" t="str">
        <f t="shared" si="707"/>
        <v/>
      </c>
      <c r="E15" s="786"/>
      <c r="F15" s="322">
        <f t="shared" ca="1" si="706"/>
        <v>87</v>
      </c>
      <c r="G15" s="588">
        <f t="shared" si="708"/>
        <v>41507</v>
      </c>
      <c r="H15" s="588">
        <f t="shared" si="709"/>
        <v>41507</v>
      </c>
      <c r="I15" s="629"/>
      <c r="J15" s="594"/>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90"/>
      <c r="AAB15"/>
      <c r="AAC15"/>
      <c r="AAD15" s="113"/>
      <c r="AAE15" s="554">
        <f>IF(AAJ15=TRUE,1,0)</f>
        <v>0</v>
      </c>
      <c r="AAF15" s="586" t="s">
        <v>0</v>
      </c>
      <c r="AAG15" s="78">
        <f>VLOOKUP(S.EQCMeeting,VL_EQCActivities,6,FALSE)</f>
        <v>41507</v>
      </c>
      <c r="AAH15" s="78">
        <f t="shared" si="710"/>
        <v>41507</v>
      </c>
      <c r="AAI15" s="573" t="str">
        <f>IF(OR(G15&gt;=S.EQCMeeting,H15&gt;=S.EQCMeeting),"Must be less than H13","")</f>
        <v/>
      </c>
      <c r="AAJ15" s="81" t="b">
        <v>0</v>
      </c>
      <c r="AAK15" s="525"/>
      <c r="AAL15" s="572" t="str">
        <f>IF(AND(S.InvolveEQCFacHearing=TRUE,S.InvolveHearing=FALSE),"ERROR:No hearings selected below","Facilitated Hearing")</f>
        <v>Facilitated Hearing</v>
      </c>
      <c r="AAM15" s="113"/>
      <c r="AAO15" s="110" t="s">
        <v>255</v>
      </c>
      <c r="AAP15" s="108">
        <f>IF(AND(S.InvolveCommittee=TRUE,S.InvolveFee=TRUE),35,IF(S.InvolveCommittee=TRUE,25,0))</f>
        <v>35</v>
      </c>
      <c r="AAQ15" s="108">
        <f>IF(AND(S.InvolveCommittee=TRUE,S.InvolveFee=TRUE),30,IF(S.InvolveCommittee=TRUE,20,0))</f>
        <v>30</v>
      </c>
      <c r="AAR15" s="108">
        <f>IF(AND(S.InvolveCommittee=TRUE,S.InvolveFee=TRUE),25,IF(S.InvolveCommittee=TRUE,15,0))</f>
        <v>25</v>
      </c>
      <c r="AAS15" s="108">
        <f>IF(AND(S.InvolveCommittee=TRUE,S.InvolveFee=TRUE),20,IF(S.InvolveCommittee=TRUE,10,0))</f>
        <v>20</v>
      </c>
      <c r="AAU15" s="102" t="s">
        <v>263</v>
      </c>
      <c r="AAV15" s="101">
        <f>IF(S.InvolveSIP=FALSE,S.BANNER.OverviewStart,IF(WORKDAY(ABA15-46,1,S.DDL_DEQClosed)&lt;S.BANNER.OverviewStart,S.BANNER.OverviewStart,WORKDAY(ABA15-46,1,S.DDL_DEQClosed)))</f>
        <v>41369</v>
      </c>
      <c r="AAW15" s="101">
        <f>IF(S.InvolveCommittee=FALSE,S.BANNER.OverviewStart,WORKDAY(S.BANNER.OverviewStart+31,-1,S.DDL_DEQClosed))</f>
        <v>41397</v>
      </c>
      <c r="AAX15" s="101">
        <f>IF(S.DASApprovalRequired=TRUE,WORKDAY(AAY15-31,1,S.DDL_DEQClosed),IF(S.InvolveFee=TRUE,AAY15,S.BANNER.OverviewStart))</f>
        <v>41624</v>
      </c>
      <c r="AAY15" s="101">
        <f>IF(S.InvolveNotice=FALSE,S.BANNER.OverviewStart,VLOOKUP(AAZ15,VL_Bulletin,2,FALSE))</f>
        <v>41654</v>
      </c>
      <c r="AAZ15" s="101">
        <f>VLOOKUP(ABB15-120,VL_Bulletin,1,TRUE)</f>
        <v>41671</v>
      </c>
      <c r="ABA15" s="101">
        <f>IF(S.InvolveHearing=FALSE,S.BANNER.OverviewStart,WORKDAY(AAZ15+13,1,S.DDL_DEQClosed))</f>
        <v>41688</v>
      </c>
      <c r="ABB15" s="101">
        <f>ABB17+ABD17</f>
        <v>41808</v>
      </c>
      <c r="ABC15" s="321">
        <f>VLOOKUP(ABB15-ABD15,VL_EQCActivities,TRUE)</f>
        <v>41717</v>
      </c>
      <c r="ABD15" s="340">
        <f>VLOOKUP(ABB15,VL_EQCActivities,4,FALSE)</f>
        <v>63</v>
      </c>
    </row>
    <row r="16" spans="1:745" s="23" customFormat="1" ht="6" customHeight="1">
      <c r="A16" s="601"/>
      <c r="B16" s="129"/>
      <c r="C16" s="699"/>
      <c r="D16" s="130"/>
      <c r="E16" s="125"/>
      <c r="F16" s="215"/>
      <c r="G16" s="555"/>
      <c r="H16" s="555"/>
      <c r="I16" s="590"/>
      <c r="J16" s="594"/>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20"/>
      <c r="ZZ16" s="36"/>
      <c r="AAA16" s="590"/>
      <c r="AAB16"/>
      <c r="AAC16"/>
      <c r="AAD16" s="113"/>
      <c r="AAE16" s="554">
        <v>0</v>
      </c>
      <c r="AAF16" s="585" t="s">
        <v>199</v>
      </c>
      <c r="AAG16" s="78"/>
      <c r="AAH16" s="78"/>
      <c r="AAI16" s="82"/>
      <c r="AAJ16" s="81"/>
      <c r="AAK16" s="525"/>
      <c r="AAL16" s="65"/>
      <c r="AAM16" s="113"/>
      <c r="AAO16" s="110"/>
      <c r="AAP16" s="108"/>
      <c r="AAQ16" s="108"/>
      <c r="AAR16" s="108"/>
      <c r="AAS16" s="108"/>
      <c r="AAU16" s="102"/>
      <c r="AAV16" s="101"/>
      <c r="AAW16" s="101"/>
      <c r="AAX16" s="101"/>
      <c r="AAY16" s="101"/>
      <c r="AAZ16" s="101"/>
      <c r="ABA16" s="101"/>
      <c r="ABB16" s="101"/>
      <c r="ABC16" s="321"/>
      <c r="ABD16" s="340"/>
    </row>
    <row r="17" spans="1:735" s="23" customFormat="1" ht="20.100000000000001" customHeight="1">
      <c r="A17" s="601"/>
      <c r="B17" s="756" t="str">
        <f>AAL17</f>
        <v>1-State Implementation Plan (AQ rules) NOT involved</v>
      </c>
      <c r="C17" s="756"/>
      <c r="D17" s="519"/>
      <c r="E17" s="557">
        <f t="shared" ref="E17" si="711">NETWORKDAYS(G17,H17,S.DDL_DEQClosed)</f>
        <v>138</v>
      </c>
      <c r="F17" s="322">
        <f t="shared" ref="F17" ca="1" si="712">NETWORKDAYS(TODAY(),H17,S.DDL_DEQClosed)</f>
        <v>136</v>
      </c>
      <c r="G17" s="524">
        <f t="shared" ref="G17" si="713">AAG17</f>
        <v>41379</v>
      </c>
      <c r="H17" s="523">
        <f>AAH17</f>
        <v>41577</v>
      </c>
      <c r="I17" s="630"/>
      <c r="J17" s="593"/>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90"/>
      <c r="AAB17"/>
      <c r="AAC17"/>
      <c r="AAD17" s="113"/>
      <c r="AAE17" s="554">
        <f>IF(S.InvolveSIP=TRUE,1,0)</f>
        <v>0</v>
      </c>
      <c r="AAF17" s="586" t="s">
        <v>0</v>
      </c>
      <c r="AAG17" s="78">
        <f>WORKDAY(S.BANNER.OverviewStart+9,1,S.DDL_DEQClosed)</f>
        <v>41379</v>
      </c>
      <c r="AAH17" s="78">
        <f>WORKDAY(S.SubmitSIPToEPA.PostEQC-1,1,S.DDL_DEQClosed)</f>
        <v>41577</v>
      </c>
      <c r="AAI17" s="65"/>
      <c r="AAJ17" s="81" t="b">
        <v>0</v>
      </c>
      <c r="AAK17" s="52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256</v>
      </c>
      <c r="AAP17" s="108">
        <f>IF(S.DASApprovalRequired=TRUE,50,IF(S.InvolveFee=TRUE,25,0))</f>
        <v>50</v>
      </c>
      <c r="AAQ17" s="108">
        <f>IF(S.DASApprovalRequired=TRUE,45,IF(S.InvolveFee=TRUE,20,0))</f>
        <v>45</v>
      </c>
      <c r="AAR17" s="108">
        <f>IF(S.DASApprovalRequired=TRUE,40,IF(S.InvolveFee=TRUE,15,0))</f>
        <v>40</v>
      </c>
      <c r="AAS17" s="108">
        <f>IF(S.DASApprovalRequired=TRUE,35,IF(S.InvolveFee=TRUE,10,0))</f>
        <v>35</v>
      </c>
      <c r="AAU17" s="102" t="s">
        <v>260</v>
      </c>
      <c r="AAV17" s="101">
        <f>IF(S.InvolveSIP=FALSE,S.BANNER.OverviewStart,IF(WORKDAY(ABA17-46,1,S.DDL_DEQClosed)&lt;S.BANNER.OverviewStart,S.BANNER.OverviewStart,WORKDAY(ABA17-46,1,S.DDL_DEQClosed)))</f>
        <v>41369</v>
      </c>
      <c r="AAW17" s="101">
        <f>IF(S.InvolveCommittee=FALSE,S.BANNER.OverviewStart,WORKDAY(S.BANNER.OverviewStart+26,-1,S.DDL_DEQClosed))</f>
        <v>41394</v>
      </c>
      <c r="AAX17" s="101">
        <f>IF(S.DASApprovalRequired=TRUE,WORKDAY(AAY17-31,1,S.DDL_DEQClosed),IF(S.InvolveFee=TRUE,AAY17,S.BANNER.OverviewStart))</f>
        <v>41563</v>
      </c>
      <c r="AAY17" s="101">
        <f>IF(S.InvolveNotice=FALSE,S.BANNER.OverviewStart,VLOOKUP(AAZ17,VL_Bulletin,2,FALSE))</f>
        <v>41593</v>
      </c>
      <c r="AAZ17" s="101">
        <f>VLOOKUP(ABB17-90,VL_Bulletin,1,TRUE)</f>
        <v>41609</v>
      </c>
      <c r="ABA17" s="101">
        <f>IF(S.InvolveHearing=FALSE,S.BANNER.OverviewStart,WORKDAY(AAZ17+13,1,S.DDL_DEQClosed))</f>
        <v>41624</v>
      </c>
      <c r="ABB17" s="101">
        <f>ABB18+ABD18</f>
        <v>41717</v>
      </c>
      <c r="ABC17" s="321">
        <f>VLOOKUP(ABB17-ABD17,VL_EQCActivities,TRUE)</f>
        <v>41619</v>
      </c>
      <c r="ABD17" s="340">
        <f>VLOOKUP(ABB17,VL_EQCActivities,4,FALSE)</f>
        <v>91</v>
      </c>
    </row>
    <row r="18" spans="1:735" s="23" customFormat="1" ht="6" customHeight="1">
      <c r="A18" s="560"/>
      <c r="B18" s="131"/>
      <c r="C18" s="700"/>
      <c r="D18" s="131"/>
      <c r="E18" s="125"/>
      <c r="F18" s="215"/>
      <c r="G18" s="495"/>
      <c r="H18"/>
      <c r="I18" s="590"/>
      <c r="J18" s="593"/>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9"/>
      <c r="ZZ18" s="624"/>
      <c r="AAA18" s="590"/>
      <c r="AAB18"/>
      <c r="AAC18"/>
      <c r="AAD18" s="113"/>
      <c r="AAE18" s="553">
        <v>0</v>
      </c>
      <c r="AAF18" s="585" t="s">
        <v>199</v>
      </c>
      <c r="AAG18" s="113"/>
      <c r="AAH18" s="113"/>
      <c r="AAI18" s="212"/>
      <c r="AAJ18" s="525" t="s">
        <v>0</v>
      </c>
      <c r="AAK18" s="525"/>
      <c r="AAL18" s="115"/>
      <c r="AAM18" s="113"/>
      <c r="AAO18" s="111" t="s">
        <v>257</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261</v>
      </c>
      <c r="AAV18" s="101">
        <f>IF(S.InvolveSIP=FALSE,S.BANNER.OverviewStart,IF(WORKDAY(ABA18-46,1,S.DDL_DEQClosed)&lt;S.BANNER.OverviewStart,S.BANNER.OverviewStart,WORKDAY(ABA18-46,1,S.DDL_DEQClosed)))</f>
        <v>41369</v>
      </c>
      <c r="AAW18" s="101">
        <f>IF(S.InvolveCommittee=FALSE,S.BANNER.OverviewStart,WORKDAY(S.BANNER.OverviewStart+21,-1,S.DDL_DEQClosed))</f>
        <v>41389</v>
      </c>
      <c r="AAX18" s="101">
        <f>IF(S.DASApprovalRequired=TRUE,WORKDAY(AAY18-31,1,S.DDL_DEQClosed),IF(S.InvolveFee=TRUE,AAY18,S.BANNER.OverviewStart))</f>
        <v>41500</v>
      </c>
      <c r="AAY18" s="101">
        <f>IF(S.InvolveNotice=FALSE,S.BANNER.OverviewStart,VLOOKUP(AAZ18,VL_Bulletin,2,FALSE))</f>
        <v>41530</v>
      </c>
      <c r="AAZ18" s="101">
        <f>VLOOKUP(ABB18-60,VL_Bulletin,1,TRUE)</f>
        <v>41548</v>
      </c>
      <c r="ABA18" s="101">
        <f>IF(S.InvolveHearing=FALSE,S.BANNER.OverviewStart,WORKDAY(AAZ18+13,1,S.DDL_DEQClosed))</f>
        <v>41562</v>
      </c>
      <c r="ABB18" s="101">
        <f>ABB19+ABD19</f>
        <v>41619</v>
      </c>
      <c r="ABC18" s="321">
        <f>VLOOKUP(ABB18-ABD18,VL_EQCActivities,TRUE)</f>
        <v>41507</v>
      </c>
      <c r="ABD18" s="340">
        <f>VLOOKUP(ABB18,VL_EQCActivities,4,FALSE)</f>
        <v>98</v>
      </c>
    </row>
    <row r="19" spans="1:735" s="23" customFormat="1" ht="20.100000000000001" customHeight="1">
      <c r="A19" s="560"/>
      <c r="B19" s="327" t="str">
        <f t="shared" ref="B19:B28" si="714">AAL19</f>
        <v>2-Advisory Committee</v>
      </c>
      <c r="C19" s="692"/>
      <c r="D19" s="327"/>
      <c r="E19" s="685">
        <f t="shared" ref="E19" si="715">NETWORKDAYS(G19,H19,S.DDL_DEQClosed)</f>
        <v>116</v>
      </c>
      <c r="F19" s="547">
        <f ca="1">NETWORKDAYS(TODAY(),G19,S.DDL_DEQClosed)</f>
        <v>23</v>
      </c>
      <c r="G19" s="654">
        <f>AAG19</f>
        <v>41414</v>
      </c>
      <c r="H19" s="686">
        <f>AAH19</f>
        <v>41579</v>
      </c>
      <c r="I19" s="629"/>
      <c r="J19" s="593"/>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90"/>
      <c r="AAB19"/>
      <c r="AAC19"/>
      <c r="AAD19" s="113"/>
      <c r="AAE19" s="554">
        <f>IF(S.InvolveCommittee=TRUE,1,0)</f>
        <v>1</v>
      </c>
      <c r="AAF19" s="113" t="s">
        <v>0</v>
      </c>
      <c r="AAG19" s="78">
        <f>IF(S.InvolveCommittee=TRUE,WORKDAY(S.BANNER.OverviewStart,30,S.DDL_DEQClosed),S.BANNER.OverviewStart)</f>
        <v>41414</v>
      </c>
      <c r="AAH19" s="78">
        <f>IF(S.InvolveCommittee=TRUE,WORKDAY(S.FileRuleWithSOS,10,S.DDL_DEQClosed),S.BANNER.OverviewStart)</f>
        <v>41579</v>
      </c>
      <c r="AAI19" s="65"/>
      <c r="AAJ19" s="81" t="b">
        <v>1</v>
      </c>
      <c r="AAK19" s="525"/>
      <c r="AAL19" s="85" t="str">
        <f>IF(S.InvolveCommittee=TRUE,"2-Advisory Committee","2-Advisory Committee NOT involved")</f>
        <v>2-Advisory Committee</v>
      </c>
      <c r="AAM19" s="113"/>
      <c r="AAO19" s="111" t="s">
        <v>259</v>
      </c>
      <c r="AAP19" s="108">
        <v>45</v>
      </c>
      <c r="AAQ19" s="108">
        <v>45</v>
      </c>
      <c r="AAR19" s="108">
        <v>45</v>
      </c>
      <c r="AAS19" s="108">
        <v>45</v>
      </c>
      <c r="AAU19" s="102" t="s">
        <v>262</v>
      </c>
      <c r="AAV19" s="101">
        <f>IF(S.InvolveSIP=FALSE,S.BANNER.OverviewStart,IF(WORKDAY(ABA19-46,1,S.DDL_DEQClosed)&lt;S.BANNER.OverviewStart,S.BANNER.OverviewStart,WORKDAY(ABA19-46,1,S.DDL_DEQClosed)))</f>
        <v>41369</v>
      </c>
      <c r="AAW19" s="101">
        <f>IF(S.InvolveCommittee=FALSE,S.BANNER.OverviewStart,WORKDAY(S.BANNER.OverviewStart+11,-1,S.DDL_DEQClosed))</f>
        <v>41379</v>
      </c>
      <c r="AAX19" s="341">
        <f>IF(S.DASApprovalRequired=TRUE,WORKDAY(AAY19-31,1,S.DDL_DEQClosed),IF(S.InvolveFee=TRUE,AAY19,S.BANNER.OverviewStart))</f>
        <v>41442</v>
      </c>
      <c r="AAY19" s="101">
        <f>IF(S.InvolveNotice=FALSE,S.BANNER.OverviewStart,VLOOKUP(AAZ19,VL_Bulletin,2,FALSE))</f>
        <v>41470</v>
      </c>
      <c r="AAZ19" s="101">
        <f>VLOOKUP(ABB19-60,VL_Bulletin,1,TRUE)</f>
        <v>41487</v>
      </c>
      <c r="ABA19" s="101">
        <f>IF(S.InvolveHearing=FALSE,S.BANNER.OverviewStart,WORKDAY(AAZ19+13,1,S.DDL_DEQClosed))</f>
        <v>41501</v>
      </c>
      <c r="ABB19" s="101">
        <f>VLOOKUP(S.EQCMeeting,VL_EQCActivities,1,TRUE)</f>
        <v>41563</v>
      </c>
      <c r="ABC19" s="321">
        <f>VLOOKUP(ABB19-ABD19,VL_EQCActivities,TRUE)</f>
        <v>41507</v>
      </c>
      <c r="ABD19" s="340">
        <f>VLOOKUP(ABB19,VL_EQCActivities,4,FALSE)</f>
        <v>56</v>
      </c>
    </row>
    <row r="20" spans="1:735" s="23" customFormat="1" ht="6" customHeight="1">
      <c r="A20" s="560"/>
      <c r="B20" s="204"/>
      <c r="C20" s="701"/>
      <c r="D20" s="132"/>
      <c r="E20" s="125"/>
      <c r="F20" s="215"/>
      <c r="G20" s="495"/>
      <c r="H20" s="216"/>
      <c r="I20" s="590"/>
      <c r="J20" s="593"/>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7"/>
      <c r="ZZ20" s="624"/>
      <c r="AAA20" s="590"/>
      <c r="AAB20"/>
      <c r="AAC20"/>
      <c r="AAD20" s="113"/>
      <c r="AAE20" s="553">
        <v>0</v>
      </c>
      <c r="AAF20" s="585" t="s">
        <v>199</v>
      </c>
      <c r="AAG20" s="84"/>
      <c r="AAH20" s="77"/>
      <c r="AAI20" s="212"/>
      <c r="AAJ20" s="81"/>
      <c r="AAK20" s="525"/>
      <c r="AAL20" s="85"/>
      <c r="AAM20" s="113"/>
      <c r="AAO20" s="784"/>
      <c r="AAP20" s="777">
        <f>SUM(AAP13:AAP19)</f>
        <v>224</v>
      </c>
      <c r="AAQ20" s="777">
        <f>SUM(AAQ13:AAQ19)</f>
        <v>202</v>
      </c>
      <c r="AAR20" s="777">
        <f>SUM(AAR13:AAR19)</f>
        <v>180</v>
      </c>
      <c r="AAS20" s="777">
        <f>SUM(AAS13:AAS19)</f>
        <v>158</v>
      </c>
      <c r="AAU20"/>
      <c r="AAV20"/>
      <c r="AAW20"/>
      <c r="AAX20"/>
      <c r="AAY20"/>
      <c r="AAZ20"/>
      <c r="ABA20"/>
      <c r="ABB20"/>
      <c r="ABC20"/>
      <c r="ABD20"/>
    </row>
    <row r="21" spans="1:735" ht="20.100000000000001" customHeight="1">
      <c r="A21" s="560"/>
      <c r="B21" s="131" t="str">
        <f t="shared" si="714"/>
        <v>3-Fees Involved</v>
      </c>
      <c r="C21" s="693"/>
      <c r="D21" s="134" t="s">
        <v>0</v>
      </c>
      <c r="E21" s="546">
        <f t="shared" ref="E21" si="716">NETWORKDAYS(G21,H21,S.DDL_DEQClosed)</f>
        <v>41</v>
      </c>
      <c r="F21" s="545">
        <f t="shared" ref="F21" ca="1" si="717">NETWORKDAYS(TODAY(),H21,S.DDL_DEQClosed)</f>
        <v>63</v>
      </c>
      <c r="G21" s="524">
        <f>AAG21</f>
        <v>41414</v>
      </c>
      <c r="H21" s="521">
        <f>AAH21</f>
        <v>41473</v>
      </c>
      <c r="I21" s="629"/>
      <c r="J21" s="593"/>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90"/>
      <c r="AAD21" s="113"/>
      <c r="AAE21" s="554">
        <f>IF(S.InvolveFee=TRUE,1,0)</f>
        <v>1</v>
      </c>
      <c r="AAF21" s="113" t="s">
        <v>0</v>
      </c>
      <c r="AAG21" s="78">
        <f>IF(S.InvolveFee=TRUE,WORKDAY(S.BANNER.OverviewStart,30,S.DDL_DEQClosed),S.BANNER.OverviewStart)</f>
        <v>41414</v>
      </c>
      <c r="AAH21" s="78">
        <f>S.BANNER.FeeEnd</f>
        <v>41473</v>
      </c>
      <c r="AAI21" s="335" t="b">
        <f>IF(AND(S.InvolveFee,AAJ22=1),TRUE,FALSE)</f>
        <v>1</v>
      </c>
      <c r="AAJ21" s="81" t="b">
        <v>1</v>
      </c>
      <c r="AAK21" s="525"/>
      <c r="AAL21" s="83" t="str">
        <f>IF(S.InvolveFee=TRUE,"3-Fees Involved","3-Fees Not Involved")</f>
        <v>3-Fees Involved</v>
      </c>
      <c r="AAM21" s="113"/>
      <c r="AAN21"/>
      <c r="AAO21" s="784"/>
      <c r="AAP21" s="777"/>
      <c r="AAQ21" s="777"/>
      <c r="AAR21" s="777"/>
      <c r="AAS21" s="777"/>
      <c r="AAT21" s="23"/>
    </row>
    <row r="22" spans="1:735" s="23" customFormat="1" ht="20.100000000000001" customHeight="1">
      <c r="A22" s="560"/>
      <c r="B22" s="135" t="str">
        <f t="shared" si="714"/>
        <v>DAS - Fee approval required</v>
      </c>
      <c r="C22" s="702"/>
      <c r="D22" s="136" t="s">
        <v>74</v>
      </c>
      <c r="E22" s="123"/>
      <c r="F22" s="217"/>
      <c r="G22" s="522"/>
      <c r="H22" s="218"/>
      <c r="I22" s="590"/>
      <c r="J22" s="593"/>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41"/>
      <c r="ZZ22" s="624"/>
      <c r="AAA22" s="590"/>
      <c r="AAB22"/>
      <c r="AAC22"/>
      <c r="AAD22" s="113"/>
      <c r="AAE22" s="553">
        <f>IF(S.InvolveFee=TRUE,1,0)</f>
        <v>1</v>
      </c>
      <c r="AAF22" s="585" t="s">
        <v>199</v>
      </c>
      <c r="AAG22" s="84"/>
      <c r="AAH22" s="84" t="s">
        <v>0</v>
      </c>
      <c r="AAI22" s="84"/>
      <c r="AAJ22" s="86">
        <v>1</v>
      </c>
      <c r="AAK22" s="525"/>
      <c r="AAL22" s="83" t="str">
        <f>IF(S.InvolveFee=TRUE,"DAS - Fee approval required","DAS - Fee approval not involved")</f>
        <v>DAS - Fee approval required</v>
      </c>
      <c r="AAM22" s="113"/>
      <c r="AAO22" s="23" t="s">
        <v>0</v>
      </c>
      <c r="AAP22"/>
      <c r="AAQ22"/>
      <c r="AAR22"/>
      <c r="AAS22"/>
      <c r="AAT22" s="23" t="s">
        <v>0</v>
      </c>
      <c r="ABB22"/>
    </row>
    <row r="23" spans="1:735" s="23" customFormat="1" ht="20.100000000000001" customHeight="1">
      <c r="A23" s="560"/>
      <c r="B23" s="135" t="str">
        <f t="shared" si="714"/>
        <v>DAS - Fee approval NOT required</v>
      </c>
      <c r="C23" s="702"/>
      <c r="D23" s="137"/>
      <c r="E23" s="123"/>
      <c r="F23" s="217"/>
      <c r="G23" s="522"/>
      <c r="H23" s="218"/>
      <c r="I23" s="590"/>
      <c r="J23" s="593"/>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9"/>
      <c r="ZZ23" s="624"/>
      <c r="AAA23" s="590"/>
      <c r="AAB23"/>
      <c r="AAC23"/>
      <c r="AAD23" s="113"/>
      <c r="AAE23" s="553">
        <f>IF(S.InvolveFee=TRUE,1,0)</f>
        <v>1</v>
      </c>
      <c r="AAF23" s="585" t="s">
        <v>199</v>
      </c>
      <c r="AAG23" s="84"/>
      <c r="AAH23" s="84"/>
      <c r="AAI23" s="84"/>
      <c r="AAJ23" s="77"/>
      <c r="AAK23" s="342"/>
      <c r="AAL23" s="83" t="str">
        <f>IF(S.InvolveFee=TRUE,"DAS - Fee approval NOT required","DAS - Email notice not involved")</f>
        <v>DAS - Fee approval NOT required</v>
      </c>
      <c r="AAM23" s="113"/>
      <c r="AAO23" s="339"/>
      <c r="AAP23"/>
      <c r="AAQ23"/>
      <c r="AAR23"/>
      <c r="AAS23"/>
      <c r="AAT23" s="75"/>
      <c r="AAV23" s="103" t="s">
        <v>0</v>
      </c>
      <c r="AAW23" s="330" t="s">
        <v>0</v>
      </c>
      <c r="AAX23" s="330"/>
      <c r="AAY23" s="330"/>
      <c r="AAZ23" s="330"/>
      <c r="ABA23" s="330"/>
      <c r="ABB23" s="330"/>
      <c r="ABC23" s="330"/>
      <c r="ABD23" s="330"/>
      <c r="ABE23" s="330"/>
      <c r="ABF23" s="330"/>
    </row>
    <row r="24" spans="1:735" s="23" customFormat="1" ht="6" customHeight="1">
      <c r="A24" s="560"/>
      <c r="B24" s="135"/>
      <c r="C24" s="702"/>
      <c r="D24" s="137"/>
      <c r="E24" s="123"/>
      <c r="F24" s="217"/>
      <c r="G24" s="522"/>
      <c r="H24" s="218"/>
      <c r="I24" s="590"/>
      <c r="J24" s="593"/>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9"/>
      <c r="ZZ24" s="624"/>
      <c r="AAA24" s="590"/>
      <c r="AAB24"/>
      <c r="AAC24"/>
      <c r="AAD24" s="113"/>
      <c r="AAE24" s="553">
        <v>0</v>
      </c>
      <c r="AAF24" s="585" t="s">
        <v>199</v>
      </c>
      <c r="AAG24" s="84"/>
      <c r="AAH24" s="84"/>
      <c r="AAI24" s="84"/>
      <c r="AAJ24" s="77"/>
      <c r="AAK24" s="342"/>
      <c r="AAL24" s="83"/>
      <c r="AAM24" s="113"/>
      <c r="AAU24" s="44"/>
      <c r="AAX24" s="330"/>
      <c r="AAY24" s="330"/>
      <c r="AAZ24" s="330"/>
      <c r="ABA24" s="330"/>
      <c r="ABB24" s="330"/>
      <c r="ABC24" s="330"/>
      <c r="ABD24" s="330"/>
      <c r="ABE24" s="330"/>
      <c r="ABF24" s="330"/>
      <c r="ABG24" s="330"/>
    </row>
    <row r="25" spans="1:735" s="23" customFormat="1" ht="20.100000000000001" customHeight="1">
      <c r="A25" s="560"/>
      <c r="B25" s="754" t="str">
        <f t="shared" si="714"/>
        <v>4-Public Notice WITH hearing</v>
      </c>
      <c r="C25" s="754"/>
      <c r="D25" s="754"/>
      <c r="E25" s="123"/>
      <c r="F25" s="217"/>
      <c r="G25" s="522"/>
      <c r="H25" s="218"/>
      <c r="I25" s="590"/>
      <c r="J25" s="593"/>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7"/>
      <c r="ZZ25" s="624"/>
      <c r="AAA25" s="590"/>
      <c r="AAB25"/>
      <c r="AAC25"/>
      <c r="AAD25" s="113"/>
      <c r="AAE25" s="553">
        <f>IF(S.InvolveNotice=TRUE,1,0)</f>
        <v>1</v>
      </c>
      <c r="AAF25" s="585" t="s">
        <v>199</v>
      </c>
      <c r="AAG25" s="65"/>
      <c r="AAH25" s="65"/>
      <c r="AAI25" s="65"/>
      <c r="AAJ25" s="77"/>
      <c r="AAK25" s="342"/>
      <c r="AAL25" s="210"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30"/>
      <c r="AAY25" s="330"/>
      <c r="AAZ25" s="330"/>
      <c r="ABA25" s="330"/>
      <c r="ABB25" s="330"/>
      <c r="ABC25" s="330"/>
      <c r="ABD25" s="330"/>
      <c r="ABE25" s="330"/>
      <c r="ABF25" s="330"/>
      <c r="ABG25" s="330"/>
    </row>
    <row r="26" spans="1:735" s="23" customFormat="1" ht="16.7" hidden="1" customHeight="1">
      <c r="A26" s="560"/>
      <c r="B26" s="767" t="str">
        <f>AAL26</f>
        <v>EPA - SIP not involved</v>
      </c>
      <c r="C26" s="768"/>
      <c r="D26" s="768"/>
      <c r="E26" s="520" t="s">
        <v>0</v>
      </c>
      <c r="F26" s="322">
        <f t="shared" ref="F26" ca="1" si="718">NETWORKDAYS(TODAY(),H26,S.DDL_DEQClosed)</f>
        <v>52</v>
      </c>
      <c r="G26" s="652">
        <f>S.SubmitNoticeToEPA</f>
        <v>41457</v>
      </c>
      <c r="H26" s="323">
        <f>AAH26</f>
        <v>41457</v>
      </c>
      <c r="I26" s="629"/>
      <c r="J26" s="593"/>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90"/>
      <c r="AAB26"/>
      <c r="AAC26"/>
      <c r="AAD26" s="113"/>
      <c r="AAE26" s="554">
        <f>IF(AND(S.InvolveSIP=TRUE,S.InvolveNotice=TRUE),1,0)</f>
        <v>0</v>
      </c>
      <c r="AAF26" s="113" t="s">
        <v>0</v>
      </c>
      <c r="AAG26" s="65"/>
      <c r="AAH26" s="78">
        <f>WORKDAY(S.FirstHearingDate-44,-1,S.DDL_DEQClosed)</f>
        <v>41457</v>
      </c>
      <c r="AAI26" s="342" t="s">
        <v>0</v>
      </c>
      <c r="AAJ26" s="87"/>
      <c r="AAK26" s="579"/>
      <c r="AAL26" s="210" t="str">
        <f>IF(S.InvolveSIP=TRUE,"EPA - submit 45 days BEFORE 1st hearing (H31)","EPA - SIP not involved")</f>
        <v>EPA - SIP not involved</v>
      </c>
      <c r="AAM26" s="113"/>
      <c r="AAU26" s="44"/>
      <c r="AAX26" s="330"/>
      <c r="AAY26" s="330"/>
      <c r="AAZ26" s="330"/>
      <c r="ABA26" s="330"/>
      <c r="ABB26" s="330"/>
      <c r="ABC26" s="330"/>
      <c r="ABD26" s="330"/>
      <c r="ABE26" s="330"/>
      <c r="ABF26" s="330"/>
      <c r="ABG26" s="330"/>
    </row>
    <row r="27" spans="1:735" s="23" customFormat="1" ht="16.7" customHeight="1">
      <c r="A27" s="560"/>
      <c r="B27" s="769" t="str">
        <f>AAL27</f>
        <v>DAS - submit Part 1, about 30 days BEFORE SOS submittal (H28)</v>
      </c>
      <c r="C27" s="769"/>
      <c r="D27" s="769"/>
      <c r="E27" s="520" t="s">
        <v>0</v>
      </c>
      <c r="F27" s="322">
        <f t="shared" ref="F27" ca="1" si="719">NETWORKDAYS(TODAY(),H27,S.DDL_DEQClosed)</f>
        <v>41</v>
      </c>
      <c r="G27" s="652">
        <f>S.SubmitFeeToDAS</f>
        <v>41442</v>
      </c>
      <c r="H27" s="323">
        <f>AAH27</f>
        <v>41442</v>
      </c>
      <c r="I27" s="629"/>
      <c r="J27" s="593"/>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90"/>
      <c r="AAB27"/>
      <c r="AAC27"/>
      <c r="AAD27" s="113"/>
      <c r="AAE27" s="553">
        <f>IF(AND(S.InvolveFee=TRUE,S.InvolveNotice=TRUE),1,0)</f>
        <v>1</v>
      </c>
      <c r="AAF27" s="113" t="s">
        <v>0</v>
      </c>
      <c r="AAG27" s="65"/>
      <c r="AAH27" s="78">
        <f>IF(S.DASApprovalRequired=TRUE,WORKDAY(S.SubmitNoticeToSOS-31,1,S.DDL_DEQClosed),IF(S.InvolveFee=TRUE,S.SubmitNoticeToSOS,S.BANNER.OverviewStart))</f>
        <v>41442</v>
      </c>
      <c r="AAI27" s="77"/>
      <c r="AAJ27" s="77"/>
      <c r="AAK27" s="582">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3"/>
      <c r="AAU27" s="44"/>
      <c r="AAX27" s="330"/>
      <c r="AAY27" s="330"/>
      <c r="AAZ27" s="330"/>
      <c r="ABA27" s="330"/>
      <c r="ABB27" s="330"/>
      <c r="ABC27" s="330"/>
      <c r="ABD27" s="330"/>
      <c r="ABE27" s="330"/>
      <c r="ABF27" s="330"/>
      <c r="ABG27" s="330"/>
    </row>
    <row r="28" spans="1:735" s="23" customFormat="1" ht="16.7" customHeight="1">
      <c r="A28" s="560" t="s">
        <v>0</v>
      </c>
      <c r="B28" s="769" t="str">
        <f t="shared" si="714"/>
        <v>SOS - submit on workday &lt;=15th of month BEFORE Bulletin (H29)</v>
      </c>
      <c r="C28" s="769"/>
      <c r="D28" s="769"/>
      <c r="E28" s="520"/>
      <c r="F28" s="322">
        <f ca="1">NETWORKDAYS(TODAY(),H28,S.DDL_DEQClosed)</f>
        <v>60</v>
      </c>
      <c r="G28" s="652">
        <f>S.SubmitNoticeToSOS</f>
        <v>41470</v>
      </c>
      <c r="H28" s="323">
        <f>AAH28</f>
        <v>41470</v>
      </c>
      <c r="I28" s="629"/>
      <c r="J28" s="593"/>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90"/>
      <c r="AAB28"/>
      <c r="AAC28"/>
      <c r="AAD28" s="113"/>
      <c r="AAE28" s="553">
        <f>IF(S.InvolveNotice=TRUE,1,0)</f>
        <v>1</v>
      </c>
      <c r="AAF28" s="113" t="s">
        <v>0</v>
      </c>
      <c r="AAG28" s="65"/>
      <c r="AAH28" s="78">
        <f>VLOOKUP(S.PublicNoticeInBulletin,VL_Bulletin,2,FALSE)</f>
        <v>41470</v>
      </c>
      <c r="AAI28" s="77"/>
      <c r="AAJ28" s="77"/>
      <c r="AAK28" s="342"/>
      <c r="AAL28" s="210"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560" t="s">
        <v>0</v>
      </c>
      <c r="B29" s="511" t="str">
        <f t="shared" ref="B29" si="720">AAL29</f>
        <v>SOS - Bulletin always publishes 1st of month</v>
      </c>
      <c r="C29" s="702"/>
      <c r="D29" s="782" t="str">
        <f>AAI29</f>
        <v/>
      </c>
      <c r="E29" s="783"/>
      <c r="F29" s="322">
        <f ca="1">NETWORKDAYS(TODAY(),H29,S.DDL_DEQClosed)</f>
        <v>73</v>
      </c>
      <c r="G29" s="653" t="s">
        <v>0</v>
      </c>
      <c r="H29" s="587">
        <f>AAH29</f>
        <v>41487</v>
      </c>
      <c r="I29" s="629"/>
      <c r="J29" s="593"/>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90"/>
      <c r="AAB29"/>
      <c r="AAC29"/>
      <c r="AAD29" s="113"/>
      <c r="AAE29" s="553">
        <f>IF(S.InvolveNotice=TRUE,1,0)</f>
        <v>1</v>
      </c>
      <c r="AAF29" s="113" t="s">
        <v>0</v>
      </c>
      <c r="AAG29" s="65"/>
      <c r="AAH29" s="78">
        <f>VLOOKUP(S.EQCMeeting-60,S.DDL_Bulletin,TRUE)</f>
        <v>41487</v>
      </c>
      <c r="AAI29" s="575" t="str">
        <f>IF(S.PublicNoticeInBulletin&gt;=S.SubmitStaffRpt-25,"Select earlier date &gt;","")</f>
        <v/>
      </c>
      <c r="AAJ29" s="81" t="b">
        <v>1</v>
      </c>
      <c r="AAK29" s="582">
        <f>IF(S.InvolveNotice=TRUE,30,0)</f>
        <v>30</v>
      </c>
      <c r="AAL29" s="210"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560"/>
      <c r="B30" s="131" t="s">
        <v>194</v>
      </c>
      <c r="C30" s="703"/>
      <c r="D30" s="137"/>
      <c r="E30" s="123"/>
      <c r="F30" s="217"/>
      <c r="G30" s="522"/>
      <c r="H30" s="218"/>
      <c r="I30" s="590"/>
      <c r="J30" s="593"/>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8"/>
      <c r="ZZ30" s="624"/>
      <c r="AAA30" s="590"/>
      <c r="AAB30"/>
      <c r="AAC30"/>
      <c r="AAD30" s="113"/>
      <c r="AAE30" s="553">
        <f>IF(S.InvolveNotice=TRUE,1,0)</f>
        <v>1</v>
      </c>
      <c r="AAF30" s="585" t="s">
        <v>199</v>
      </c>
      <c r="AAG30" s="77"/>
      <c r="AAH30" s="77"/>
      <c r="AAI30" s="77"/>
      <c r="AAJ30" s="77"/>
      <c r="AAK30" s="342"/>
      <c r="AAL30" s="211" t="s">
        <v>250</v>
      </c>
      <c r="AAM30" s="113"/>
      <c r="AAN30" s="574" t="s">
        <v>0</v>
      </c>
      <c r="AAU30" s="44"/>
      <c r="AAV30"/>
      <c r="AAW30"/>
      <c r="AAX30"/>
      <c r="AAY30"/>
      <c r="AAZ30"/>
      <c r="ABA30"/>
      <c r="ABB30"/>
      <c r="ABC30"/>
      <c r="ABD30"/>
    </row>
    <row r="31" spans="1:735" ht="16.7" customHeight="1">
      <c r="A31" s="560"/>
      <c r="B31" s="778" t="str">
        <f>AAL31</f>
        <v>First Hearing =&gt; 15th workday AFTER Bulletin (H29)</v>
      </c>
      <c r="C31" s="778"/>
      <c r="D31" s="778"/>
      <c r="E31" s="517"/>
      <c r="F31" s="322">
        <f t="shared" ref="F31:F40" ca="1" si="721">NETWORKDAYS(TODAY(),H31,S.DDL_DEQClosed)</f>
        <v>84</v>
      </c>
      <c r="G31" s="652">
        <f>S.FirstHearingDate</f>
        <v>41502</v>
      </c>
      <c r="H31" s="323">
        <f>AAH31</f>
        <v>41502</v>
      </c>
      <c r="I31" s="629"/>
      <c r="J31" s="593"/>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90"/>
      <c r="AAD31" s="113"/>
      <c r="AAE31" s="553">
        <f>IF(S.InvolveNotice=FALSE,0,IF(S.InvolveHearing=TRUE,1,0))</f>
        <v>1</v>
      </c>
      <c r="AAF31" s="113" t="s">
        <v>0</v>
      </c>
      <c r="AAG31" s="65"/>
      <c r="AAH31" s="78">
        <f>WORKDAY(S.PublicNoticeInBulletin+14,1,S.DDL_DEQClosed)</f>
        <v>41502</v>
      </c>
      <c r="AAI31" s="77"/>
      <c r="AAJ31" s="81" t="b">
        <v>1</v>
      </c>
      <c r="AAK31" s="582">
        <f>IF(S.InvolveHearing=TRUE,14,0)</f>
        <v>14</v>
      </c>
      <c r="AAL31" s="211"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560"/>
      <c r="B32" s="138" t="str">
        <f>AAL32</f>
        <v>Close PUBLIC COMMENT</v>
      </c>
      <c r="C32" s="704"/>
      <c r="D32" s="140"/>
      <c r="E32" s="125"/>
      <c r="F32" s="322">
        <f ca="1">NETWORKDAYS(TODAY(),H32,S.DDL_DEQClosed)</f>
        <v>85</v>
      </c>
      <c r="G32" s="652">
        <f>S.CloseComment</f>
        <v>41505</v>
      </c>
      <c r="H32" s="323">
        <f>AAH32</f>
        <v>41505</v>
      </c>
      <c r="I32" s="629"/>
      <c r="J32" s="593"/>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90"/>
      <c r="AAD32" s="113"/>
      <c r="AAE32" s="553">
        <f>IF(S.InvolveNotice=TRUE,1,0)</f>
        <v>1</v>
      </c>
      <c r="AAF32" s="113" t="s">
        <v>0</v>
      </c>
      <c r="AAG32" s="65"/>
      <c r="AAH32" s="78">
        <f>IF(S.InvolveNotice=FALSE,S.BANNER.OverviewStart,WORKDAY(S.LastHearingDate+2,1,S.DDL_DEQClosed))</f>
        <v>41505</v>
      </c>
      <c r="AAI32" s="77"/>
      <c r="AAJ32" s="56" t="s">
        <v>0</v>
      </c>
      <c r="AAK32" s="580"/>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560"/>
      <c r="B33" s="141" t="s">
        <v>102</v>
      </c>
      <c r="C33" s="704"/>
      <c r="D33" s="140"/>
      <c r="E33" s="123"/>
      <c r="F33" s="217"/>
      <c r="G33" s="522"/>
      <c r="H33" s="218"/>
      <c r="I33" s="590"/>
      <c r="J33" s="593"/>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8"/>
      <c r="ZZ33" s="624"/>
      <c r="AAA33" s="590"/>
      <c r="AAB33"/>
      <c r="AAC33"/>
      <c r="AAD33" s="113"/>
      <c r="AAE33" s="553">
        <v>1</v>
      </c>
      <c r="AAF33" s="585" t="s">
        <v>199</v>
      </c>
      <c r="AAG33" s="84"/>
      <c r="AAH33" s="84"/>
      <c r="AAI33" s="77"/>
      <c r="AAJ33" s="87"/>
      <c r="AAK33" s="579"/>
      <c r="AAL33" s="117"/>
      <c r="AAM33" s="113"/>
      <c r="AAU33" s="44"/>
    </row>
    <row r="34" spans="1:732" s="23" customFormat="1" ht="17.100000000000001" customHeight="1">
      <c r="A34" s="560"/>
      <c r="B34" s="144" t="s">
        <v>271</v>
      </c>
      <c r="C34" s="705" t="s">
        <v>73</v>
      </c>
      <c r="D34" s="139"/>
      <c r="E34" s="125"/>
      <c r="F34" s="322">
        <f ca="1">NETWORKDAYS(TODAY(),H34,S.DDL_DEQClosed)</f>
        <v>100</v>
      </c>
      <c r="G34" s="652">
        <f>S.SubmitStaffRpt</f>
        <v>41527</v>
      </c>
      <c r="H34" s="324">
        <f>AAH34</f>
        <v>41527</v>
      </c>
      <c r="I34" s="629"/>
      <c r="J34" s="593"/>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90"/>
      <c r="AAB34"/>
      <c r="AAC34"/>
      <c r="AAD34" s="113"/>
      <c r="AAE34" s="553">
        <v>1</v>
      </c>
      <c r="AAF34" s="113" t="s">
        <v>0</v>
      </c>
      <c r="AAG34" s="65"/>
      <c r="AAH34" s="78">
        <f>VLOOKUP(S.EQCMeeting,VL_EQCActivities,2,FALSE)</f>
        <v>41527</v>
      </c>
      <c r="AAI34" s="77"/>
      <c r="AAJ34" s="56"/>
      <c r="AAK34" s="582">
        <v>41</v>
      </c>
      <c r="AAL34" s="39" t="s">
        <v>342</v>
      </c>
      <c r="AAM34" s="113"/>
      <c r="AAU34" s="44"/>
    </row>
    <row r="35" spans="1:732" s="23" customFormat="1" ht="17.100000000000001" customHeight="1">
      <c r="A35" s="560"/>
      <c r="B35" s="144" t="s">
        <v>281</v>
      </c>
      <c r="C35" s="705" t="s">
        <v>73</v>
      </c>
      <c r="D35" s="139"/>
      <c r="E35" s="125"/>
      <c r="F35" s="322">
        <f ca="1">NETWORKDAYS(TODAY(),H35,S.DDL_DEQClosed)</f>
        <v>126</v>
      </c>
      <c r="G35" s="652">
        <f>H35</f>
        <v>41563</v>
      </c>
      <c r="H35" s="325">
        <f>AAH35</f>
        <v>41563</v>
      </c>
      <c r="I35" s="629"/>
      <c r="J35" s="593"/>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90"/>
      <c r="AAB35"/>
      <c r="AAC35"/>
      <c r="AAD35" s="113"/>
      <c r="AAE35" s="553">
        <v>1</v>
      </c>
      <c r="AAF35" s="113"/>
      <c r="AAG35" s="65"/>
      <c r="AAH35" s="78">
        <f>S.EQCMeeting</f>
        <v>41563</v>
      </c>
      <c r="AAI35" s="65"/>
      <c r="AAJ35" s="56"/>
      <c r="AAK35" s="580"/>
      <c r="AAL35" s="39"/>
      <c r="AAM35" s="113"/>
      <c r="AAU35" s="44"/>
    </row>
    <row r="36" spans="1:732" s="23" customFormat="1" ht="20.100000000000001" customHeight="1">
      <c r="A36" s="560"/>
      <c r="B36" s="141" t="s">
        <v>196</v>
      </c>
      <c r="C36" s="704"/>
      <c r="D36" s="140"/>
      <c r="E36" s="123"/>
      <c r="F36" s="217"/>
      <c r="G36" s="522"/>
      <c r="H36" s="218"/>
      <c r="I36" s="590"/>
      <c r="J36" s="593"/>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8"/>
      <c r="ZZ36" s="624"/>
      <c r="AAA36" s="590"/>
      <c r="AAB36"/>
      <c r="AAC36"/>
      <c r="AAD36" s="113"/>
      <c r="AAE36" s="553">
        <v>1</v>
      </c>
      <c r="AAF36" s="585" t="s">
        <v>199</v>
      </c>
      <c r="AAG36" s="113"/>
      <c r="AAH36" s="87"/>
      <c r="AAI36" s="65"/>
      <c r="AAJ36" s="87"/>
      <c r="AAK36" s="583">
        <f>AAK6+AAK27+AAK29+AAK31+AAK34</f>
        <v>127</v>
      </c>
      <c r="AAL36" s="117"/>
      <c r="AAM36" s="113"/>
      <c r="AAU36" s="44"/>
    </row>
    <row r="37" spans="1:732" s="23" customFormat="1" ht="17.100000000000001" customHeight="1">
      <c r="A37" s="560"/>
      <c r="B37" s="764" t="s">
        <v>267</v>
      </c>
      <c r="C37" s="764"/>
      <c r="D37" s="764"/>
      <c r="E37" s="125"/>
      <c r="F37" s="322">
        <f t="shared" ref="F37" ca="1" si="722">NETWORKDAYS(TODAY(),H37,S.DDL_DEQClosed)</f>
        <v>128</v>
      </c>
      <c r="G37" s="652">
        <f>S.FileRuleWithSOS</f>
        <v>41565</v>
      </c>
      <c r="H37" s="323">
        <f>AAH37</f>
        <v>41565</v>
      </c>
      <c r="I37" s="629"/>
      <c r="J37" s="593"/>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90"/>
      <c r="AAB37"/>
      <c r="AAC37"/>
      <c r="AAD37" s="113"/>
      <c r="AAE37" s="553">
        <v>1</v>
      </c>
      <c r="AAF37" s="113" t="s">
        <v>0</v>
      </c>
      <c r="AAG37" s="65"/>
      <c r="AAH37" s="78">
        <f>WORKDAY(S.EQCMeeting+5,-1,S.DDL_DEQClosed)</f>
        <v>41565</v>
      </c>
      <c r="AAI37" s="65"/>
      <c r="AAJ37" s="77"/>
      <c r="AAK37" s="342"/>
      <c r="AAL37" s="77"/>
      <c r="AAM37" s="113"/>
      <c r="AAU37" s="44"/>
    </row>
    <row r="38" spans="1:732" s="23" customFormat="1" ht="17.100000000000001" hidden="1" customHeight="1">
      <c r="A38" s="560"/>
      <c r="B38" s="143" t="str">
        <f>AAL38</f>
        <v>EPA - SIP not involved</v>
      </c>
      <c r="C38" s="702"/>
      <c r="D38" s="143"/>
      <c r="E38" s="125"/>
      <c r="F38" s="322">
        <f t="shared" ref="F38" ca="1" si="723">NETWORKDAYS(TODAY(),H38,S.DDL_DEQClosed)</f>
        <v>136</v>
      </c>
      <c r="G38" s="652">
        <f>S.SubmitSIPToEPA.PostEQC</f>
        <v>41577</v>
      </c>
      <c r="H38" s="323">
        <f>AAH38</f>
        <v>41577</v>
      </c>
      <c r="I38" s="629"/>
      <c r="J38" s="593"/>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90"/>
      <c r="AAB38"/>
      <c r="AAC38"/>
      <c r="AAD38" s="113"/>
      <c r="AAE38" s="554">
        <f>IF(S.InvolveSIP=TRUE,1,0)</f>
        <v>0</v>
      </c>
      <c r="AAF38" s="113"/>
      <c r="AAG38" s="65"/>
      <c r="AAH38" s="78">
        <f>WORKDAY(S.EQCMeeting,10,S.DDL_DEQClosed)</f>
        <v>41577</v>
      </c>
      <c r="AAI38" s="65"/>
      <c r="AAJ38" s="77"/>
      <c r="AAK38" s="342"/>
      <c r="AAL38" s="210" t="str">
        <f>IF(S.InvolveSIP=TRUE,"EPA - submit SIP","EPA - SIP not involved")</f>
        <v>EPA - SIP not involved</v>
      </c>
      <c r="AAM38" s="113"/>
      <c r="AAU38" s="44"/>
      <c r="AAV38"/>
      <c r="AAW38"/>
      <c r="AAX38"/>
      <c r="AAY38"/>
      <c r="AAZ38"/>
      <c r="ABA38"/>
      <c r="ABB38"/>
      <c r="ABC38"/>
      <c r="ABD38"/>
    </row>
    <row r="39" spans="1:732" s="23" customFormat="1" ht="17.100000000000001" customHeight="1">
      <c r="A39" s="560"/>
      <c r="B39" s="764" t="str">
        <f>IF(S.InvolveFee=FALSE,"DAS - fees not involved",IF(AAJ22=1,"DAS - submit Part 2 within 10 days after EQC rulemaking action","DAS - email notification within 10 days after EQC rulemaking action"))</f>
        <v>DAS - submit Part 2 within 10 days after EQC rulemaking action</v>
      </c>
      <c r="C39" s="764"/>
      <c r="D39" s="764"/>
      <c r="E39" s="125"/>
      <c r="F39" s="322">
        <f t="shared" ref="F39" ca="1" si="724">NETWORKDAYS(TODAY(),H39,S.DDL_DEQClosed)</f>
        <v>129</v>
      </c>
      <c r="G39" s="652">
        <f>S.SubmitDASPart2</f>
        <v>41568</v>
      </c>
      <c r="H39" s="323">
        <f>AAH39</f>
        <v>41568</v>
      </c>
      <c r="I39" s="629"/>
      <c r="J39" s="593"/>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90"/>
      <c r="AAB39"/>
      <c r="AAC39"/>
      <c r="AAD39" s="113"/>
      <c r="AAE39" s="553">
        <f>IF(S.InvolveFee=TRUE,1,0)</f>
        <v>1</v>
      </c>
      <c r="AAF39" s="113" t="s">
        <v>0</v>
      </c>
      <c r="AAG39" s="113" t="s">
        <v>0</v>
      </c>
      <c r="AAH39" s="78">
        <f>WORKDAY(S.EQCMeeting+5,0,S.DDL_EQCMeeting)</f>
        <v>41568</v>
      </c>
      <c r="AAI39" s="65"/>
      <c r="AAJ39" s="77"/>
      <c r="AAK39" s="342"/>
      <c r="AAL39" s="83" t="str">
        <f>IF(S.InvolveFee=FALSE,"DAS - fees not involved",IF(AAJ22=1,"DAS - submit Part 2 within ten days after EQC rulemaking action","DAS - email notification within 10 days after EQC rulemaking action"))</f>
        <v>DAS - submit Part 2 within ten days after EQC rulemaking action</v>
      </c>
      <c r="AAM39" s="113"/>
      <c r="AAU39" s="44"/>
      <c r="AAV39"/>
      <c r="AAW39"/>
      <c r="AAX39"/>
      <c r="AAY39"/>
      <c r="AAZ39"/>
      <c r="ABA39"/>
      <c r="ABB39"/>
      <c r="ABC39"/>
      <c r="ABD39"/>
    </row>
    <row r="40" spans="1:732" ht="17.100000000000001" customHeight="1">
      <c r="A40" s="560"/>
      <c r="B40" s="763" t="s">
        <v>282</v>
      </c>
      <c r="C40" s="763"/>
      <c r="D40" s="140" t="s">
        <v>0</v>
      </c>
      <c r="E40" s="125"/>
      <c r="F40" s="322">
        <f t="shared" ca="1" si="721"/>
        <v>128</v>
      </c>
      <c r="G40" s="652">
        <f>S.RuleEffective</f>
        <v>41565</v>
      </c>
      <c r="H40" s="323">
        <f>AAH40</f>
        <v>41565</v>
      </c>
      <c r="I40" s="629"/>
      <c r="J40" s="594"/>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90"/>
      <c r="AAD40" s="113"/>
      <c r="AAE40" s="553">
        <v>1</v>
      </c>
      <c r="AAF40" s="113"/>
      <c r="AAG40" s="113" t="s">
        <v>0</v>
      </c>
      <c r="AAH40" s="78">
        <f>S.FileRuleWithSOS</f>
        <v>41565</v>
      </c>
      <c r="AAI40" s="78">
        <f>S.EQCMeeting+10</f>
        <v>41573</v>
      </c>
      <c r="AAJ40" s="55"/>
      <c r="AAK40" s="55"/>
      <c r="AAL40" s="39"/>
      <c r="AAM40" s="113"/>
      <c r="AAN40"/>
      <c r="AAT40" s="23"/>
      <c r="AAU40" s="44"/>
      <c r="AAW40" s="23" t="s">
        <v>0</v>
      </c>
    </row>
    <row r="41" spans="1:732" ht="6.75" customHeight="1">
      <c r="A41" s="560"/>
      <c r="B41" s="145"/>
      <c r="C41" s="697"/>
      <c r="D41" s="146"/>
      <c r="E41" s="147"/>
      <c r="F41" s="147"/>
      <c r="G41" s="148"/>
      <c r="H41" s="146"/>
      <c r="I41" s="590"/>
      <c r="J41" s="64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41"/>
      <c r="ZZ41" s="624"/>
      <c r="AAA41" s="590"/>
      <c r="AAD41" s="113"/>
      <c r="AAE41" s="553">
        <v>0</v>
      </c>
      <c r="AAF41" s="585" t="s">
        <v>199</v>
      </c>
      <c r="AAG41" s="76"/>
      <c r="AAH41" s="76"/>
      <c r="AAI41" s="65"/>
      <c r="AAJ41" s="55"/>
      <c r="AAK41" s="55"/>
      <c r="AAL41" s="39"/>
      <c r="AAM41" s="113"/>
      <c r="AAN41"/>
      <c r="AAT41" s="23"/>
      <c r="AAU41" s="44"/>
    </row>
    <row r="42" spans="1:732" s="23" customFormat="1" ht="18" customHeight="1">
      <c r="A42" s="560"/>
      <c r="B42" s="203" t="s">
        <v>273</v>
      </c>
      <c r="C42" s="706" t="s">
        <v>277</v>
      </c>
      <c r="D42" s="149"/>
      <c r="E42" s="771"/>
      <c r="F42" s="771"/>
      <c r="G42" s="150" t="s">
        <v>0</v>
      </c>
      <c r="H42" s="150" t="s">
        <v>0</v>
      </c>
      <c r="I42" s="590"/>
      <c r="J42" s="63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21"/>
      <c r="ZZ42" s="120"/>
      <c r="AAA42" s="590"/>
      <c r="AAB42"/>
      <c r="AAC42"/>
      <c r="AAD42" s="113"/>
      <c r="AAE42" s="553" t="s">
        <v>29</v>
      </c>
      <c r="AAF42" s="585" t="s">
        <v>199</v>
      </c>
      <c r="AAG42" s="113"/>
      <c r="AAH42" s="113"/>
      <c r="AAI42" s="77"/>
      <c r="AAJ42" s="90"/>
      <c r="AAK42" s="90"/>
      <c r="AAL42" s="76"/>
      <c r="AAM42" s="113"/>
      <c r="AAU42" s="44"/>
    </row>
    <row r="43" spans="1:732" s="23" customFormat="1" ht="18" customHeight="1">
      <c r="A43" s="560"/>
      <c r="B43" s="223" t="s">
        <v>15</v>
      </c>
      <c r="C43" s="706"/>
      <c r="D43" s="151" t="s">
        <v>278</v>
      </c>
      <c r="E43" s="781" t="s">
        <v>207</v>
      </c>
      <c r="F43" s="208" t="s">
        <v>2</v>
      </c>
      <c r="G43" s="153" t="s">
        <v>279</v>
      </c>
      <c r="H43" s="153" t="s">
        <v>91</v>
      </c>
      <c r="I43" s="629"/>
      <c r="J43" s="595"/>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21"/>
      <c r="ZZ43" s="120"/>
      <c r="AAA43" s="590"/>
      <c r="AAB43"/>
      <c r="AAC43"/>
      <c r="AAD43" s="113"/>
      <c r="AAE43" s="553" t="s">
        <v>276</v>
      </c>
      <c r="AAF43" s="585" t="s">
        <v>199</v>
      </c>
      <c r="AAG43" s="113"/>
      <c r="AAH43" s="113"/>
      <c r="AAI43" s="77"/>
      <c r="AAJ43" s="90"/>
      <c r="AAK43" s="90"/>
      <c r="AAL43" s="76"/>
      <c r="AAM43" s="113"/>
      <c r="AAU43" s="44"/>
    </row>
    <row r="44" spans="1:732" ht="18" customHeight="1">
      <c r="A44" s="560"/>
      <c r="B44" s="224"/>
      <c r="C44" s="225"/>
      <c r="D44" s="226"/>
      <c r="E44" s="781"/>
      <c r="F44" s="374">
        <f>NETWORKDAYS(S.BANNER.PlanningStart,S.BANNER.PlanningEnd,S.DDL_DEQClosed)</f>
        <v>83</v>
      </c>
      <c r="G44" s="618">
        <f>S.BANNER.OverviewStart</f>
        <v>41369</v>
      </c>
      <c r="H44" s="227">
        <f>AAH44</f>
        <v>41491</v>
      </c>
      <c r="I44" s="629"/>
      <c r="J44" s="631"/>
      <c r="K44" s="637"/>
      <c r="L44" s="637"/>
      <c r="M44" s="637"/>
      <c r="N44" s="637"/>
      <c r="O44" s="637"/>
      <c r="P44" s="637"/>
      <c r="Q44" s="637"/>
      <c r="R44" s="637"/>
      <c r="S44" s="637"/>
      <c r="T44" s="637"/>
      <c r="U44" s="637"/>
      <c r="V44" s="637"/>
      <c r="W44" s="637"/>
      <c r="X44" s="637"/>
      <c r="Y44" s="637"/>
      <c r="Z44" s="637"/>
      <c r="AA44" s="637"/>
      <c r="AB44" s="637"/>
      <c r="AC44" s="637"/>
      <c r="AD44" s="637"/>
      <c r="AE44" s="637"/>
      <c r="AF44" s="637"/>
      <c r="AG44" s="637"/>
      <c r="AH44" s="637"/>
      <c r="AI44" s="637"/>
      <c r="AJ44" s="637"/>
      <c r="AK44" s="637"/>
      <c r="AL44" s="637"/>
      <c r="AM44" s="637"/>
      <c r="AN44" s="637"/>
      <c r="AO44" s="637"/>
      <c r="AP44" s="637"/>
      <c r="AQ44" s="637"/>
      <c r="AR44" s="637"/>
      <c r="AS44" s="637"/>
      <c r="AT44" s="637"/>
      <c r="AU44" s="637"/>
      <c r="AV44" s="637"/>
      <c r="AW44" s="637"/>
      <c r="AX44" s="637"/>
      <c r="AY44" s="637"/>
      <c r="AZ44" s="637"/>
      <c r="BA44" s="637"/>
      <c r="BB44" s="637"/>
      <c r="BC44" s="637"/>
      <c r="BD44" s="637"/>
      <c r="BE44" s="637"/>
      <c r="BF44" s="637"/>
      <c r="BG44" s="637"/>
      <c r="BH44" s="637"/>
      <c r="BI44" s="637"/>
      <c r="BJ44" s="637"/>
      <c r="BK44" s="637"/>
      <c r="BL44" s="637"/>
      <c r="BM44" s="637"/>
      <c r="BN44" s="637"/>
      <c r="BO44" s="637"/>
      <c r="BP44" s="637"/>
      <c r="BQ44" s="637"/>
      <c r="BR44" s="637"/>
      <c r="BS44" s="637"/>
      <c r="BT44" s="637"/>
      <c r="BU44" s="637"/>
      <c r="BV44" s="637"/>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c r="DH44" s="637"/>
      <c r="DI44" s="637"/>
      <c r="DJ44" s="637"/>
      <c r="DK44" s="637"/>
      <c r="DL44" s="637"/>
      <c r="DM44" s="637"/>
      <c r="DN44" s="637"/>
      <c r="DO44" s="637"/>
      <c r="DP44" s="637"/>
      <c r="DQ44" s="637"/>
      <c r="DR44" s="637"/>
      <c r="DS44" s="637"/>
      <c r="DT44" s="637"/>
      <c r="DU44" s="637"/>
      <c r="DV44" s="637"/>
      <c r="DW44" s="637"/>
      <c r="DX44" s="637"/>
      <c r="DY44" s="637"/>
      <c r="DZ44" s="637"/>
      <c r="EA44" s="637"/>
      <c r="EB44" s="637"/>
      <c r="EC44" s="637"/>
      <c r="ED44" s="637"/>
      <c r="EE44" s="637"/>
      <c r="EF44" s="637"/>
      <c r="EG44" s="637"/>
      <c r="EH44" s="637"/>
      <c r="EI44" s="637"/>
      <c r="EJ44" s="637"/>
      <c r="EK44" s="637"/>
      <c r="EL44" s="637"/>
      <c r="EM44" s="637"/>
      <c r="EN44" s="637"/>
      <c r="EO44" s="637"/>
      <c r="EP44" s="637"/>
      <c r="EQ44" s="637"/>
      <c r="ER44" s="637"/>
      <c r="ES44" s="637"/>
      <c r="ET44" s="637"/>
      <c r="EU44" s="637"/>
      <c r="EV44" s="637"/>
      <c r="EW44" s="637"/>
      <c r="EX44" s="637"/>
      <c r="EY44" s="637"/>
      <c r="EZ44" s="637"/>
      <c r="FA44" s="637"/>
      <c r="FB44" s="637"/>
      <c r="FC44" s="637"/>
      <c r="FD44" s="637"/>
      <c r="FE44" s="637"/>
      <c r="FF44" s="637"/>
      <c r="FG44" s="637"/>
      <c r="FH44" s="637"/>
      <c r="FI44" s="637"/>
      <c r="FJ44" s="637"/>
      <c r="FK44" s="637"/>
      <c r="FL44" s="637"/>
      <c r="FM44" s="637"/>
      <c r="FN44" s="637"/>
      <c r="FO44" s="637"/>
      <c r="FP44" s="637"/>
      <c r="FQ44" s="637"/>
      <c r="FR44" s="637"/>
      <c r="FS44" s="637"/>
      <c r="FT44" s="637"/>
      <c r="FU44" s="637"/>
      <c r="FV44" s="637"/>
      <c r="FW44" s="637"/>
      <c r="FX44" s="637"/>
      <c r="FY44" s="637"/>
      <c r="FZ44" s="637"/>
      <c r="GA44" s="637"/>
      <c r="GB44" s="637"/>
      <c r="GC44" s="637"/>
      <c r="GD44" s="637"/>
      <c r="GE44" s="637"/>
      <c r="GF44" s="637"/>
      <c r="GG44" s="637"/>
      <c r="GH44" s="637"/>
      <c r="GI44" s="637"/>
      <c r="GJ44" s="637"/>
      <c r="GK44" s="637"/>
      <c r="GL44" s="637"/>
      <c r="GM44" s="637"/>
      <c r="GN44" s="637"/>
      <c r="GO44" s="637"/>
      <c r="GP44" s="637"/>
      <c r="GQ44" s="637"/>
      <c r="GR44" s="637"/>
      <c r="GS44" s="637"/>
      <c r="GT44" s="637"/>
      <c r="GU44" s="637"/>
      <c r="GV44" s="637"/>
      <c r="GW44" s="637"/>
      <c r="GX44" s="637"/>
      <c r="GY44" s="637"/>
      <c r="GZ44" s="637"/>
      <c r="HA44" s="637"/>
      <c r="HB44" s="637"/>
      <c r="HC44" s="637"/>
      <c r="HD44" s="637"/>
      <c r="HE44" s="637"/>
      <c r="HF44" s="637"/>
      <c r="HG44" s="637"/>
      <c r="HH44" s="637"/>
      <c r="HI44" s="637"/>
      <c r="HJ44" s="637"/>
      <c r="HK44" s="637"/>
      <c r="HL44" s="637"/>
      <c r="HM44" s="637"/>
      <c r="HN44" s="637"/>
      <c r="HO44" s="637"/>
      <c r="HP44" s="637"/>
      <c r="HQ44" s="637"/>
      <c r="HR44" s="637"/>
      <c r="HS44" s="637"/>
      <c r="HT44" s="637"/>
      <c r="HU44" s="637"/>
      <c r="HV44" s="637"/>
      <c r="HW44" s="637"/>
      <c r="HX44" s="637"/>
      <c r="HY44" s="637"/>
      <c r="HZ44" s="637"/>
      <c r="IA44" s="637"/>
      <c r="IB44" s="637"/>
      <c r="IC44" s="637"/>
      <c r="ID44" s="637"/>
      <c r="IE44" s="637"/>
      <c r="IF44" s="637"/>
      <c r="IG44" s="637"/>
      <c r="IH44" s="637"/>
      <c r="II44" s="637"/>
      <c r="IJ44" s="637"/>
      <c r="IK44" s="637"/>
      <c r="IL44" s="637"/>
      <c r="IM44" s="637"/>
      <c r="IN44" s="637"/>
      <c r="IO44" s="637"/>
      <c r="IP44" s="637"/>
      <c r="IQ44" s="637"/>
      <c r="IR44" s="637"/>
      <c r="IS44" s="637"/>
      <c r="IT44" s="637"/>
      <c r="IU44" s="637"/>
      <c r="IV44" s="637"/>
      <c r="IW44" s="637"/>
      <c r="IX44" s="637"/>
      <c r="IY44" s="637"/>
      <c r="IZ44" s="637"/>
      <c r="JA44" s="637"/>
      <c r="JB44" s="637"/>
      <c r="JC44" s="637"/>
      <c r="JD44" s="637"/>
      <c r="JE44" s="637"/>
      <c r="JF44" s="637"/>
      <c r="JG44" s="637"/>
      <c r="JH44" s="637"/>
      <c r="JI44" s="637"/>
      <c r="JJ44" s="637"/>
      <c r="JK44" s="637"/>
      <c r="JL44" s="637"/>
      <c r="JM44" s="637"/>
      <c r="JN44" s="637"/>
      <c r="JO44" s="637"/>
      <c r="JP44" s="637"/>
      <c r="JQ44" s="637"/>
      <c r="JR44" s="637"/>
      <c r="JS44" s="637"/>
      <c r="JT44" s="637"/>
      <c r="JU44" s="637"/>
      <c r="JV44" s="637"/>
      <c r="JW44" s="637"/>
      <c r="JX44" s="637"/>
      <c r="JY44" s="637"/>
      <c r="JZ44" s="637"/>
      <c r="KA44" s="637"/>
      <c r="KB44" s="637"/>
      <c r="KC44" s="637"/>
      <c r="KD44" s="637"/>
      <c r="KE44" s="637"/>
      <c r="KF44" s="637"/>
      <c r="KG44" s="637"/>
      <c r="KH44" s="637"/>
      <c r="KI44" s="637"/>
      <c r="KJ44" s="637"/>
      <c r="KK44" s="637"/>
      <c r="KL44" s="637"/>
      <c r="KM44" s="637"/>
      <c r="KN44" s="637"/>
      <c r="KO44" s="637"/>
      <c r="KP44" s="637"/>
      <c r="KQ44" s="637"/>
      <c r="KR44" s="637"/>
      <c r="KS44" s="637"/>
      <c r="KT44" s="637"/>
      <c r="KU44" s="637"/>
      <c r="KV44" s="637"/>
      <c r="KW44" s="637"/>
      <c r="KX44" s="637"/>
      <c r="KY44" s="637"/>
      <c r="KZ44" s="637"/>
      <c r="LA44" s="637"/>
      <c r="LB44" s="637"/>
      <c r="LC44" s="637"/>
      <c r="LD44" s="637"/>
      <c r="LE44" s="637"/>
      <c r="LF44" s="637"/>
      <c r="LG44" s="637"/>
      <c r="LH44" s="637"/>
      <c r="LI44" s="637"/>
      <c r="LJ44" s="637"/>
      <c r="LK44" s="637"/>
      <c r="LL44" s="637"/>
      <c r="LM44" s="637"/>
      <c r="LN44" s="637"/>
      <c r="LO44" s="637"/>
      <c r="LP44" s="637"/>
      <c r="LQ44" s="637"/>
      <c r="LR44" s="637"/>
      <c r="LS44" s="637"/>
      <c r="LT44" s="637"/>
      <c r="LU44" s="637"/>
      <c r="LV44" s="637"/>
      <c r="LW44" s="637"/>
      <c r="LX44" s="637"/>
      <c r="LY44" s="637"/>
      <c r="LZ44" s="637"/>
      <c r="MA44" s="637"/>
      <c r="MB44" s="637"/>
      <c r="MC44" s="637"/>
      <c r="MD44" s="637"/>
      <c r="ME44" s="637"/>
      <c r="MF44" s="637"/>
      <c r="MG44" s="637"/>
      <c r="MH44" s="637"/>
      <c r="MI44" s="637"/>
      <c r="MJ44" s="637"/>
      <c r="MK44" s="637"/>
      <c r="ML44" s="637"/>
      <c r="MM44" s="637"/>
      <c r="MN44" s="637"/>
      <c r="MO44" s="637"/>
      <c r="MP44" s="637"/>
      <c r="MQ44" s="637"/>
      <c r="MR44" s="637"/>
      <c r="MS44" s="637"/>
      <c r="MT44" s="637"/>
      <c r="MU44" s="637"/>
      <c r="MV44" s="637"/>
      <c r="MW44" s="637"/>
      <c r="MX44" s="637"/>
      <c r="MY44" s="637"/>
      <c r="MZ44" s="637"/>
      <c r="NA44" s="637"/>
      <c r="NB44" s="637"/>
      <c r="NC44" s="637"/>
      <c r="ND44" s="637"/>
      <c r="NE44" s="637"/>
      <c r="NF44" s="637"/>
      <c r="NG44" s="637"/>
      <c r="NH44" s="637"/>
      <c r="NI44" s="637"/>
      <c r="NJ44" s="637"/>
      <c r="NK44" s="637"/>
      <c r="NL44" s="637"/>
      <c r="NM44" s="637"/>
      <c r="NN44" s="637"/>
      <c r="NO44" s="637"/>
      <c r="NP44" s="637"/>
      <c r="NQ44" s="637"/>
      <c r="NR44" s="637"/>
      <c r="NS44" s="637"/>
      <c r="NT44" s="637"/>
      <c r="NU44" s="637"/>
      <c r="NV44" s="637"/>
      <c r="NW44" s="637"/>
      <c r="NX44" s="637"/>
      <c r="NY44" s="637"/>
      <c r="NZ44" s="637"/>
      <c r="OA44" s="637"/>
      <c r="OB44" s="637"/>
      <c r="OC44" s="637"/>
      <c r="OD44" s="637"/>
      <c r="OE44" s="637"/>
      <c r="OF44" s="637"/>
      <c r="OG44" s="637"/>
      <c r="OH44" s="637"/>
      <c r="OI44" s="637"/>
      <c r="OJ44" s="637"/>
      <c r="OK44" s="637"/>
      <c r="OL44" s="637"/>
      <c r="OM44" s="637"/>
      <c r="ON44" s="637"/>
      <c r="OO44" s="637"/>
      <c r="OP44" s="637"/>
      <c r="OQ44" s="637"/>
      <c r="OR44" s="637"/>
      <c r="OS44" s="637"/>
      <c r="OT44" s="637"/>
      <c r="OU44" s="637"/>
      <c r="OV44" s="637"/>
      <c r="OW44" s="637"/>
      <c r="OX44" s="637"/>
      <c r="OY44" s="637"/>
      <c r="OZ44" s="637"/>
      <c r="PA44" s="637"/>
      <c r="PB44" s="637"/>
      <c r="PC44" s="637"/>
      <c r="PD44" s="637"/>
      <c r="PE44" s="637"/>
      <c r="PF44" s="637"/>
      <c r="PG44" s="637"/>
      <c r="PH44" s="637"/>
      <c r="PI44" s="637"/>
      <c r="PJ44" s="637"/>
      <c r="PK44" s="637"/>
      <c r="PL44" s="637"/>
      <c r="PM44" s="637"/>
      <c r="PN44" s="637"/>
      <c r="PO44" s="637"/>
      <c r="PP44" s="637"/>
      <c r="PQ44" s="637"/>
      <c r="PR44" s="637"/>
      <c r="PS44" s="637"/>
      <c r="PT44" s="637"/>
      <c r="PU44" s="637"/>
      <c r="PV44" s="637"/>
      <c r="PW44" s="637"/>
      <c r="PX44" s="637"/>
      <c r="PY44" s="637"/>
      <c r="PZ44" s="637"/>
      <c r="QA44" s="637"/>
      <c r="QB44" s="637"/>
      <c r="QC44" s="637"/>
      <c r="QD44" s="637"/>
      <c r="QE44" s="637"/>
      <c r="QF44" s="637"/>
      <c r="QG44" s="637"/>
      <c r="QH44" s="637"/>
      <c r="QI44" s="637"/>
      <c r="QJ44" s="637"/>
      <c r="QK44" s="637"/>
      <c r="QL44" s="637"/>
      <c r="QM44" s="637"/>
      <c r="QN44" s="637"/>
      <c r="QO44" s="637"/>
      <c r="QP44" s="637"/>
      <c r="QQ44" s="637"/>
      <c r="QR44" s="637"/>
      <c r="QS44" s="637"/>
      <c r="QT44" s="637"/>
      <c r="QU44" s="637"/>
      <c r="QV44" s="637"/>
      <c r="QW44" s="637"/>
      <c r="QX44" s="637"/>
      <c r="QY44" s="637"/>
      <c r="QZ44" s="637"/>
      <c r="RA44" s="637"/>
      <c r="RB44" s="637"/>
      <c r="RC44" s="637"/>
      <c r="RD44" s="637"/>
      <c r="RE44" s="637"/>
      <c r="RF44" s="637"/>
      <c r="RG44" s="637"/>
      <c r="RH44" s="637"/>
      <c r="RI44" s="637"/>
      <c r="RJ44" s="637"/>
      <c r="RK44" s="637"/>
      <c r="RL44" s="637"/>
      <c r="RM44" s="637"/>
      <c r="RN44" s="637"/>
      <c r="RO44" s="637"/>
      <c r="RP44" s="637"/>
      <c r="RQ44" s="637"/>
      <c r="RR44" s="637"/>
      <c r="RS44" s="637"/>
      <c r="RT44" s="637"/>
      <c r="RU44" s="637"/>
      <c r="RV44" s="637"/>
      <c r="RW44" s="637"/>
      <c r="RX44" s="637"/>
      <c r="RY44" s="637"/>
      <c r="RZ44" s="637"/>
      <c r="SA44" s="637"/>
      <c r="SB44" s="637"/>
      <c r="SC44" s="637"/>
      <c r="SD44" s="637"/>
      <c r="SE44" s="637"/>
      <c r="SF44" s="637"/>
      <c r="SG44" s="637"/>
      <c r="SH44" s="637"/>
      <c r="SI44" s="637"/>
      <c r="SJ44" s="637"/>
      <c r="SK44" s="637"/>
      <c r="SL44" s="637"/>
      <c r="SM44" s="637"/>
      <c r="SN44" s="637"/>
      <c r="SO44" s="637"/>
      <c r="SP44" s="637"/>
      <c r="SQ44" s="637"/>
      <c r="SR44" s="637"/>
      <c r="SS44" s="637"/>
      <c r="ST44" s="637"/>
      <c r="SU44" s="637"/>
      <c r="SV44" s="637"/>
      <c r="SW44" s="637"/>
      <c r="SX44" s="637"/>
      <c r="SY44" s="637"/>
      <c r="SZ44" s="637"/>
      <c r="TA44" s="637"/>
      <c r="TB44" s="637"/>
      <c r="TC44" s="637"/>
      <c r="TD44" s="637"/>
      <c r="TE44" s="637"/>
      <c r="TF44" s="637"/>
      <c r="TG44" s="637"/>
      <c r="TH44" s="637"/>
      <c r="TI44" s="637"/>
      <c r="TJ44" s="637"/>
      <c r="TK44" s="637"/>
      <c r="TL44" s="637"/>
      <c r="TM44" s="637"/>
      <c r="TN44" s="637"/>
      <c r="TO44" s="637"/>
      <c r="TP44" s="637"/>
      <c r="TQ44" s="637"/>
      <c r="TR44" s="637"/>
      <c r="TS44" s="637"/>
      <c r="TT44" s="637"/>
      <c r="TU44" s="637"/>
      <c r="TV44" s="637"/>
      <c r="TW44" s="637"/>
      <c r="TX44" s="637"/>
      <c r="TY44" s="637"/>
      <c r="TZ44" s="637"/>
      <c r="UA44" s="637"/>
      <c r="UB44" s="637"/>
      <c r="UC44" s="637"/>
      <c r="UD44" s="637"/>
      <c r="UE44" s="637"/>
      <c r="UF44" s="637"/>
      <c r="UG44" s="637"/>
      <c r="UH44" s="637"/>
      <c r="UI44" s="637"/>
      <c r="UJ44" s="637"/>
      <c r="UK44" s="637"/>
      <c r="UL44" s="637"/>
      <c r="UM44" s="637"/>
      <c r="UN44" s="637"/>
      <c r="UO44" s="637"/>
      <c r="UP44" s="637"/>
      <c r="UQ44" s="637"/>
      <c r="UR44" s="637"/>
      <c r="US44" s="637"/>
      <c r="UT44" s="637"/>
      <c r="UU44" s="637"/>
      <c r="UV44" s="637"/>
      <c r="UW44" s="637"/>
      <c r="UX44" s="637"/>
      <c r="UY44" s="637"/>
      <c r="UZ44" s="637"/>
      <c r="VA44" s="637"/>
      <c r="VB44" s="637"/>
      <c r="VC44" s="637"/>
      <c r="VD44" s="637"/>
      <c r="VE44" s="637"/>
      <c r="VF44" s="637"/>
      <c r="VG44" s="637"/>
      <c r="VH44" s="637"/>
      <c r="VI44" s="637"/>
      <c r="VJ44" s="637"/>
      <c r="VK44" s="637"/>
      <c r="VL44" s="637"/>
      <c r="VM44" s="637"/>
      <c r="VN44" s="637"/>
      <c r="VO44" s="637"/>
      <c r="VP44" s="637"/>
      <c r="VQ44" s="637"/>
      <c r="VR44" s="637"/>
      <c r="VS44" s="637"/>
      <c r="VT44" s="637"/>
      <c r="VU44" s="637"/>
      <c r="VV44" s="637"/>
      <c r="VW44" s="637"/>
      <c r="VX44" s="637"/>
      <c r="VY44" s="637"/>
      <c r="VZ44" s="637"/>
      <c r="WA44" s="637"/>
      <c r="WB44" s="637"/>
      <c r="WC44" s="637"/>
      <c r="WD44" s="637"/>
      <c r="WE44" s="637"/>
      <c r="WF44" s="637"/>
      <c r="WG44" s="637"/>
      <c r="WH44" s="637"/>
      <c r="WI44" s="637"/>
      <c r="WJ44" s="637"/>
      <c r="WK44" s="637"/>
      <c r="WL44" s="637"/>
      <c r="WM44" s="637"/>
      <c r="WN44" s="637"/>
      <c r="WO44" s="637"/>
      <c r="WP44" s="637"/>
      <c r="WQ44" s="637"/>
      <c r="WR44" s="637"/>
      <c r="WS44" s="637"/>
      <c r="WT44" s="637"/>
      <c r="WU44" s="637"/>
      <c r="WV44" s="637"/>
      <c r="WW44" s="637"/>
      <c r="WX44" s="637"/>
      <c r="WY44" s="637"/>
      <c r="WZ44" s="637"/>
      <c r="XA44" s="637"/>
      <c r="XB44" s="637"/>
      <c r="XC44" s="637"/>
      <c r="XD44" s="637"/>
      <c r="XE44" s="637"/>
      <c r="XF44" s="637"/>
      <c r="XG44" s="637"/>
      <c r="XH44" s="637"/>
      <c r="XI44" s="637"/>
      <c r="XJ44" s="637"/>
      <c r="XK44" s="637"/>
      <c r="XL44" s="637"/>
      <c r="XM44" s="637"/>
      <c r="XN44" s="637"/>
      <c r="XO44" s="637"/>
      <c r="XP44" s="637"/>
      <c r="XQ44" s="637"/>
      <c r="XR44" s="637"/>
      <c r="XS44" s="637"/>
      <c r="XT44" s="637"/>
      <c r="XU44" s="637"/>
      <c r="XV44" s="637"/>
      <c r="XW44" s="637"/>
      <c r="XX44" s="637"/>
      <c r="XY44" s="637"/>
      <c r="XZ44" s="637"/>
      <c r="YA44" s="637"/>
      <c r="YB44" s="637"/>
      <c r="YC44" s="637"/>
      <c r="YD44" s="637"/>
      <c r="YE44" s="637"/>
      <c r="YF44" s="637"/>
      <c r="YG44" s="637"/>
      <c r="YH44" s="637"/>
      <c r="YI44" s="637"/>
      <c r="YJ44" s="637"/>
      <c r="YK44" s="637"/>
      <c r="YL44" s="637"/>
      <c r="YM44" s="637"/>
      <c r="YN44" s="637"/>
      <c r="YO44" s="637"/>
      <c r="YP44" s="637"/>
      <c r="YQ44" s="637"/>
      <c r="YR44" s="637"/>
      <c r="YS44" s="637"/>
      <c r="YT44" s="637"/>
      <c r="YU44" s="637"/>
      <c r="YV44" s="637"/>
      <c r="YW44" s="637"/>
      <c r="YX44" s="637"/>
      <c r="YY44" s="637"/>
      <c r="YZ44" s="637"/>
      <c r="ZA44" s="637"/>
      <c r="ZB44" s="637"/>
      <c r="ZC44" s="637"/>
      <c r="ZD44" s="637"/>
      <c r="ZE44" s="637"/>
      <c r="ZF44" s="637"/>
      <c r="ZG44" s="637"/>
      <c r="ZH44" s="637"/>
      <c r="ZI44" s="637"/>
      <c r="ZJ44" s="637"/>
      <c r="ZK44" s="637"/>
      <c r="ZL44" s="637"/>
      <c r="ZM44" s="637"/>
      <c r="ZN44" s="637"/>
      <c r="ZO44" s="637"/>
      <c r="ZP44" s="637"/>
      <c r="ZQ44" s="637"/>
      <c r="ZR44" s="637"/>
      <c r="ZS44" s="637"/>
      <c r="ZT44" s="637"/>
      <c r="ZU44" s="637"/>
      <c r="ZV44" s="637"/>
      <c r="ZW44" s="637"/>
      <c r="ZX44" s="637"/>
      <c r="ZY44" s="640"/>
      <c r="ZZ44" s="120"/>
      <c r="AAA44" s="590"/>
      <c r="AAD44" s="113"/>
      <c r="AAE44" s="553" t="s">
        <v>276</v>
      </c>
      <c r="AAF44" s="585" t="s">
        <v>199</v>
      </c>
      <c r="AAG44" s="78">
        <f>S.BANNER.OverviewStart</f>
        <v>41369</v>
      </c>
      <c r="AAH44" s="78">
        <f>WORKDAY(S.PublicNoticeInBulletin+1,1,S.DDL_DEQClosed)</f>
        <v>41491</v>
      </c>
      <c r="AAI44" s="77"/>
      <c r="AAJ44" s="90"/>
      <c r="AAK44" s="90"/>
      <c r="AAL44" s="76"/>
      <c r="AAM44" s="113"/>
      <c r="AAN44"/>
      <c r="AAT44" s="23"/>
      <c r="AAU44" s="44"/>
    </row>
    <row r="45" spans="1:732" ht="6" customHeight="1">
      <c r="A45" s="560"/>
      <c r="B45" s="207"/>
      <c r="C45" s="696"/>
      <c r="D45" s="181"/>
      <c r="E45" s="182"/>
      <c r="F45" s="182"/>
      <c r="G45" s="181"/>
      <c r="H45" s="181"/>
      <c r="I45" s="590"/>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90"/>
      <c r="AAD45" s="113"/>
      <c r="AAE45" s="554" t="s">
        <v>22</v>
      </c>
      <c r="AAF45" s="585" t="s">
        <v>199</v>
      </c>
      <c r="AAG45" s="63"/>
      <c r="AAH45" s="63"/>
      <c r="AAI45" s="77"/>
      <c r="AAJ45" s="91" t="s">
        <v>74</v>
      </c>
      <c r="AAK45" s="91"/>
      <c r="AAL45" s="40"/>
      <c r="AAM45" s="113"/>
      <c r="AAN45"/>
      <c r="AAT45" s="23"/>
      <c r="AAU45" s="44"/>
    </row>
    <row r="46" spans="1:732" ht="15.75" customHeight="1" outlineLevel="1">
      <c r="A46" s="560"/>
      <c r="B46" s="674" t="s">
        <v>355</v>
      </c>
      <c r="C46" s="288" t="s">
        <v>94</v>
      </c>
      <c r="D46" s="345" t="s">
        <v>0</v>
      </c>
      <c r="E46" s="346" t="s">
        <v>0</v>
      </c>
      <c r="F46" s="346" t="s">
        <v>0</v>
      </c>
      <c r="G46" s="345"/>
      <c r="H46" s="345"/>
      <c r="I46" s="590"/>
      <c r="J46" s="639"/>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638"/>
      <c r="AZ46" s="638"/>
      <c r="BA46" s="638"/>
      <c r="BB46" s="638"/>
      <c r="BC46" s="638"/>
      <c r="BD46" s="638"/>
      <c r="BE46" s="638"/>
      <c r="BF46" s="638"/>
      <c r="BG46" s="638"/>
      <c r="BH46" s="638"/>
      <c r="BI46" s="638"/>
      <c r="BJ46" s="638"/>
      <c r="BK46" s="638"/>
      <c r="BL46" s="638"/>
      <c r="BM46" s="638"/>
      <c r="BN46" s="638"/>
      <c r="BO46" s="638"/>
      <c r="BP46" s="638"/>
      <c r="BQ46" s="638"/>
      <c r="BR46" s="638"/>
      <c r="BS46" s="638"/>
      <c r="BT46" s="638"/>
      <c r="BU46" s="638"/>
      <c r="BV46" s="638"/>
      <c r="BW46" s="638"/>
      <c r="BX46" s="638"/>
      <c r="BY46" s="638"/>
      <c r="BZ46" s="638"/>
      <c r="CA46" s="638"/>
      <c r="CB46" s="638"/>
      <c r="CC46" s="638"/>
      <c r="CD46" s="638"/>
      <c r="CE46" s="638"/>
      <c r="CF46" s="638"/>
      <c r="CG46" s="638"/>
      <c r="CH46" s="638"/>
      <c r="CI46" s="638"/>
      <c r="CJ46" s="638"/>
      <c r="CK46" s="638"/>
      <c r="CL46" s="638"/>
      <c r="CM46" s="638"/>
      <c r="CN46" s="638"/>
      <c r="CO46" s="638"/>
      <c r="CP46" s="638"/>
      <c r="CQ46" s="638"/>
      <c r="CR46" s="638"/>
      <c r="CS46" s="638"/>
      <c r="CT46" s="638"/>
      <c r="CU46" s="638"/>
      <c r="CV46" s="638"/>
      <c r="CW46" s="638"/>
      <c r="CX46" s="638"/>
      <c r="CY46" s="638"/>
      <c r="CZ46" s="638"/>
      <c r="DA46" s="638"/>
      <c r="DB46" s="638"/>
      <c r="DC46" s="638"/>
      <c r="DD46" s="638"/>
      <c r="DE46" s="638"/>
      <c r="DF46" s="638"/>
      <c r="DG46" s="638"/>
      <c r="DH46" s="638"/>
      <c r="DI46" s="638"/>
      <c r="DJ46" s="638"/>
      <c r="DK46" s="638"/>
      <c r="DL46" s="638"/>
      <c r="DM46" s="638"/>
      <c r="DN46" s="638"/>
      <c r="DO46" s="638"/>
      <c r="DP46" s="638"/>
      <c r="DQ46" s="638"/>
      <c r="DR46" s="638"/>
      <c r="DS46" s="638"/>
      <c r="DT46" s="638"/>
      <c r="DU46" s="638"/>
      <c r="DV46" s="638"/>
      <c r="DW46" s="638"/>
      <c r="DX46" s="638"/>
      <c r="DY46" s="638"/>
      <c r="DZ46" s="638"/>
      <c r="EA46" s="638"/>
      <c r="EB46" s="638"/>
      <c r="EC46" s="638"/>
      <c r="ED46" s="638"/>
      <c r="EE46" s="638"/>
      <c r="EF46" s="638"/>
      <c r="EG46" s="638"/>
      <c r="EH46" s="638"/>
      <c r="EI46" s="638"/>
      <c r="EJ46" s="638"/>
      <c r="EK46" s="638"/>
      <c r="EL46" s="638"/>
      <c r="EM46" s="638"/>
      <c r="EN46" s="638"/>
      <c r="EO46" s="638"/>
      <c r="EP46" s="638"/>
      <c r="EQ46" s="638"/>
      <c r="ER46" s="638"/>
      <c r="ES46" s="638"/>
      <c r="ET46" s="638"/>
      <c r="EU46" s="638"/>
      <c r="EV46" s="638"/>
      <c r="EW46" s="638"/>
      <c r="EX46" s="638"/>
      <c r="EY46" s="638"/>
      <c r="EZ46" s="638"/>
      <c r="FA46" s="638"/>
      <c r="FB46" s="638"/>
      <c r="FC46" s="638"/>
      <c r="FD46" s="638"/>
      <c r="FE46" s="638"/>
      <c r="FF46" s="638"/>
      <c r="FG46" s="638"/>
      <c r="FH46" s="638"/>
      <c r="FI46" s="638"/>
      <c r="FJ46" s="638"/>
      <c r="FK46" s="638"/>
      <c r="FL46" s="638"/>
      <c r="FM46" s="638"/>
      <c r="FN46" s="638"/>
      <c r="FO46" s="638"/>
      <c r="FP46" s="638"/>
      <c r="FQ46" s="638"/>
      <c r="FR46" s="638"/>
      <c r="FS46" s="638"/>
      <c r="FT46" s="638"/>
      <c r="FU46" s="638"/>
      <c r="FV46" s="638"/>
      <c r="FW46" s="638"/>
      <c r="FX46" s="638"/>
      <c r="FY46" s="638"/>
      <c r="FZ46" s="638"/>
      <c r="GA46" s="638"/>
      <c r="GB46" s="638"/>
      <c r="GC46" s="638"/>
      <c r="GD46" s="638"/>
      <c r="GE46" s="638"/>
      <c r="GF46" s="638"/>
      <c r="GG46" s="638"/>
      <c r="GH46" s="638"/>
      <c r="GI46" s="638"/>
      <c r="GJ46" s="638"/>
      <c r="GK46" s="638"/>
      <c r="GL46" s="638"/>
      <c r="GM46" s="638"/>
      <c r="GN46" s="638"/>
      <c r="GO46" s="638"/>
      <c r="GP46" s="638"/>
      <c r="GQ46" s="638"/>
      <c r="GR46" s="638"/>
      <c r="GS46" s="638"/>
      <c r="GT46" s="638"/>
      <c r="GU46" s="638"/>
      <c r="GV46" s="638"/>
      <c r="GW46" s="638"/>
      <c r="GX46" s="638"/>
      <c r="GY46" s="638"/>
      <c r="GZ46" s="638"/>
      <c r="HA46" s="638"/>
      <c r="HB46" s="638"/>
      <c r="HC46" s="638"/>
      <c r="HD46" s="638"/>
      <c r="HE46" s="638"/>
      <c r="HF46" s="638"/>
      <c r="HG46" s="638"/>
      <c r="HH46" s="638"/>
      <c r="HI46" s="638"/>
      <c r="HJ46" s="638"/>
      <c r="HK46" s="638"/>
      <c r="HL46" s="638"/>
      <c r="HM46" s="638"/>
      <c r="HN46" s="638"/>
      <c r="HO46" s="638"/>
      <c r="HP46" s="638"/>
      <c r="HQ46" s="638"/>
      <c r="HR46" s="638"/>
      <c r="HS46" s="638"/>
      <c r="HT46" s="638"/>
      <c r="HU46" s="638"/>
      <c r="HV46" s="638"/>
      <c r="HW46" s="638"/>
      <c r="HX46" s="638"/>
      <c r="HY46" s="638"/>
      <c r="HZ46" s="638"/>
      <c r="IA46" s="638"/>
      <c r="IB46" s="638"/>
      <c r="IC46" s="638"/>
      <c r="ID46" s="638"/>
      <c r="IE46" s="638"/>
      <c r="IF46" s="638"/>
      <c r="IG46" s="638"/>
      <c r="IH46" s="638"/>
      <c r="II46" s="638"/>
      <c r="IJ46" s="638"/>
      <c r="IK46" s="638"/>
      <c r="IL46" s="638"/>
      <c r="IM46" s="638"/>
      <c r="IN46" s="638"/>
      <c r="IO46" s="638"/>
      <c r="IP46" s="638"/>
      <c r="IQ46" s="638"/>
      <c r="IR46" s="638"/>
      <c r="IS46" s="638"/>
      <c r="IT46" s="638"/>
      <c r="IU46" s="638"/>
      <c r="IV46" s="638"/>
      <c r="IW46" s="638"/>
      <c r="IX46" s="638"/>
      <c r="IY46" s="638"/>
      <c r="IZ46" s="638"/>
      <c r="JA46" s="638"/>
      <c r="JB46" s="638"/>
      <c r="JC46" s="638"/>
      <c r="JD46" s="638"/>
      <c r="JE46" s="638"/>
      <c r="JF46" s="638"/>
      <c r="JG46" s="638"/>
      <c r="JH46" s="638"/>
      <c r="JI46" s="638"/>
      <c r="JJ46" s="638"/>
      <c r="JK46" s="638"/>
      <c r="JL46" s="638"/>
      <c r="JM46" s="638"/>
      <c r="JN46" s="638"/>
      <c r="JO46" s="638"/>
      <c r="JP46" s="638"/>
      <c r="JQ46" s="638"/>
      <c r="JR46" s="638"/>
      <c r="JS46" s="638"/>
      <c r="JT46" s="638"/>
      <c r="JU46" s="638"/>
      <c r="JV46" s="638"/>
      <c r="JW46" s="638"/>
      <c r="JX46" s="638"/>
      <c r="JY46" s="638"/>
      <c r="JZ46" s="638"/>
      <c r="KA46" s="638"/>
      <c r="KB46" s="638"/>
      <c r="KC46" s="638"/>
      <c r="KD46" s="638"/>
      <c r="KE46" s="638"/>
      <c r="KF46" s="638"/>
      <c r="KG46" s="638"/>
      <c r="KH46" s="638"/>
      <c r="KI46" s="638"/>
      <c r="KJ46" s="638"/>
      <c r="KK46" s="638"/>
      <c r="KL46" s="638"/>
      <c r="KM46" s="638"/>
      <c r="KN46" s="638"/>
      <c r="KO46" s="638"/>
      <c r="KP46" s="638"/>
      <c r="KQ46" s="638"/>
      <c r="KR46" s="638"/>
      <c r="KS46" s="638"/>
      <c r="KT46" s="638"/>
      <c r="KU46" s="638"/>
      <c r="KV46" s="638"/>
      <c r="KW46" s="638"/>
      <c r="KX46" s="638"/>
      <c r="KY46" s="638"/>
      <c r="KZ46" s="638"/>
      <c r="LA46" s="638"/>
      <c r="LB46" s="638"/>
      <c r="LC46" s="638"/>
      <c r="LD46" s="638"/>
      <c r="LE46" s="638"/>
      <c r="LF46" s="638"/>
      <c r="LG46" s="638"/>
      <c r="LH46" s="638"/>
      <c r="LI46" s="638"/>
      <c r="LJ46" s="638"/>
      <c r="LK46" s="638"/>
      <c r="LL46" s="638"/>
      <c r="LM46" s="638"/>
      <c r="LN46" s="638"/>
      <c r="LO46" s="638"/>
      <c r="LP46" s="638"/>
      <c r="LQ46" s="638"/>
      <c r="LR46" s="638"/>
      <c r="LS46" s="638"/>
      <c r="LT46" s="638"/>
      <c r="LU46" s="638"/>
      <c r="LV46" s="638"/>
      <c r="LW46" s="638"/>
      <c r="LX46" s="638"/>
      <c r="LY46" s="638"/>
      <c r="LZ46" s="638"/>
      <c r="MA46" s="638"/>
      <c r="MB46" s="638"/>
      <c r="MC46" s="638"/>
      <c r="MD46" s="638"/>
      <c r="ME46" s="638"/>
      <c r="MF46" s="638"/>
      <c r="MG46" s="638"/>
      <c r="MH46" s="638"/>
      <c r="MI46" s="638"/>
      <c r="MJ46" s="638"/>
      <c r="MK46" s="638"/>
      <c r="ML46" s="638"/>
      <c r="MM46" s="638"/>
      <c r="MN46" s="638"/>
      <c r="MO46" s="638"/>
      <c r="MP46" s="638"/>
      <c r="MQ46" s="638"/>
      <c r="MR46" s="638"/>
      <c r="MS46" s="638"/>
      <c r="MT46" s="638"/>
      <c r="MU46" s="638"/>
      <c r="MV46" s="638"/>
      <c r="MW46" s="638"/>
      <c r="MX46" s="638"/>
      <c r="MY46" s="638"/>
      <c r="MZ46" s="638"/>
      <c r="NA46" s="638"/>
      <c r="NB46" s="638"/>
      <c r="NC46" s="638"/>
      <c r="ND46" s="638"/>
      <c r="NE46" s="638"/>
      <c r="NF46" s="638"/>
      <c r="NG46" s="638"/>
      <c r="NH46" s="638"/>
      <c r="NI46" s="638"/>
      <c r="NJ46" s="638"/>
      <c r="NK46" s="638"/>
      <c r="NL46" s="638"/>
      <c r="NM46" s="638"/>
      <c r="NN46" s="638"/>
      <c r="NO46" s="638"/>
      <c r="NP46" s="638"/>
      <c r="NQ46" s="638"/>
      <c r="NR46" s="638"/>
      <c r="NS46" s="638"/>
      <c r="NT46" s="638"/>
      <c r="NU46" s="638"/>
      <c r="NV46" s="638"/>
      <c r="NW46" s="638"/>
      <c r="NX46" s="638"/>
      <c r="NY46" s="638"/>
      <c r="NZ46" s="638"/>
      <c r="OA46" s="638"/>
      <c r="OB46" s="638"/>
      <c r="OC46" s="638"/>
      <c r="OD46" s="638"/>
      <c r="OE46" s="638"/>
      <c r="OF46" s="638"/>
      <c r="OG46" s="638"/>
      <c r="OH46" s="638"/>
      <c r="OI46" s="638"/>
      <c r="OJ46" s="638"/>
      <c r="OK46" s="638"/>
      <c r="OL46" s="638"/>
      <c r="OM46" s="638"/>
      <c r="ON46" s="638"/>
      <c r="OO46" s="638"/>
      <c r="OP46" s="638"/>
      <c r="OQ46" s="638"/>
      <c r="OR46" s="638"/>
      <c r="OS46" s="638"/>
      <c r="OT46" s="638"/>
      <c r="OU46" s="638"/>
      <c r="OV46" s="638"/>
      <c r="OW46" s="638"/>
      <c r="OX46" s="638"/>
      <c r="OY46" s="638"/>
      <c r="OZ46" s="638"/>
      <c r="PA46" s="638"/>
      <c r="PB46" s="638"/>
      <c r="PC46" s="638"/>
      <c r="PD46" s="638"/>
      <c r="PE46" s="638"/>
      <c r="PF46" s="638"/>
      <c r="PG46" s="638"/>
      <c r="PH46" s="638"/>
      <c r="PI46" s="638"/>
      <c r="PJ46" s="638"/>
      <c r="PK46" s="638"/>
      <c r="PL46" s="638"/>
      <c r="PM46" s="638"/>
      <c r="PN46" s="638"/>
      <c r="PO46" s="638"/>
      <c r="PP46" s="638"/>
      <c r="PQ46" s="638"/>
      <c r="PR46" s="638"/>
      <c r="PS46" s="638"/>
      <c r="PT46" s="638"/>
      <c r="PU46" s="638"/>
      <c r="PV46" s="638"/>
      <c r="PW46" s="638"/>
      <c r="PX46" s="638"/>
      <c r="PY46" s="638"/>
      <c r="PZ46" s="638"/>
      <c r="QA46" s="638"/>
      <c r="QB46" s="638"/>
      <c r="QC46" s="638"/>
      <c r="QD46" s="638"/>
      <c r="QE46" s="638"/>
      <c r="QF46" s="638"/>
      <c r="QG46" s="638"/>
      <c r="QH46" s="638"/>
      <c r="QI46" s="638"/>
      <c r="QJ46" s="638"/>
      <c r="QK46" s="638"/>
      <c r="QL46" s="638"/>
      <c r="QM46" s="638"/>
      <c r="QN46" s="638"/>
      <c r="QO46" s="638"/>
      <c r="QP46" s="638"/>
      <c r="QQ46" s="638"/>
      <c r="QR46" s="638"/>
      <c r="QS46" s="638"/>
      <c r="QT46" s="638"/>
      <c r="QU46" s="638"/>
      <c r="QV46" s="638"/>
      <c r="QW46" s="638"/>
      <c r="QX46" s="638"/>
      <c r="QY46" s="638"/>
      <c r="QZ46" s="638"/>
      <c r="RA46" s="638"/>
      <c r="RB46" s="638"/>
      <c r="RC46" s="638"/>
      <c r="RD46" s="638"/>
      <c r="RE46" s="638"/>
      <c r="RF46" s="638"/>
      <c r="RG46" s="638"/>
      <c r="RH46" s="638"/>
      <c r="RI46" s="638"/>
      <c r="RJ46" s="638"/>
      <c r="RK46" s="638"/>
      <c r="RL46" s="638"/>
      <c r="RM46" s="638"/>
      <c r="RN46" s="638"/>
      <c r="RO46" s="638"/>
      <c r="RP46" s="638"/>
      <c r="RQ46" s="638"/>
      <c r="RR46" s="638"/>
      <c r="RS46" s="638"/>
      <c r="RT46" s="638"/>
      <c r="RU46" s="638"/>
      <c r="RV46" s="638"/>
      <c r="RW46" s="638"/>
      <c r="RX46" s="638"/>
      <c r="RY46" s="638"/>
      <c r="RZ46" s="638"/>
      <c r="SA46" s="638"/>
      <c r="SB46" s="638"/>
      <c r="SC46" s="638"/>
      <c r="SD46" s="638"/>
      <c r="SE46" s="638"/>
      <c r="SF46" s="638"/>
      <c r="SG46" s="638"/>
      <c r="SH46" s="638"/>
      <c r="SI46" s="638"/>
      <c r="SJ46" s="638"/>
      <c r="SK46" s="638"/>
      <c r="SL46" s="638"/>
      <c r="SM46" s="638"/>
      <c r="SN46" s="638"/>
      <c r="SO46" s="638"/>
      <c r="SP46" s="638"/>
      <c r="SQ46" s="638"/>
      <c r="SR46" s="638"/>
      <c r="SS46" s="638"/>
      <c r="ST46" s="638"/>
      <c r="SU46" s="638"/>
      <c r="SV46" s="638"/>
      <c r="SW46" s="638"/>
      <c r="SX46" s="638"/>
      <c r="SY46" s="638"/>
      <c r="SZ46" s="638"/>
      <c r="TA46" s="638"/>
      <c r="TB46" s="638"/>
      <c r="TC46" s="638"/>
      <c r="TD46" s="638"/>
      <c r="TE46" s="638"/>
      <c r="TF46" s="638"/>
      <c r="TG46" s="638"/>
      <c r="TH46" s="638"/>
      <c r="TI46" s="638"/>
      <c r="TJ46" s="638"/>
      <c r="TK46" s="638"/>
      <c r="TL46" s="638"/>
      <c r="TM46" s="638"/>
      <c r="TN46" s="638"/>
      <c r="TO46" s="638"/>
      <c r="TP46" s="638"/>
      <c r="TQ46" s="638"/>
      <c r="TR46" s="638"/>
      <c r="TS46" s="638"/>
      <c r="TT46" s="638"/>
      <c r="TU46" s="638"/>
      <c r="TV46" s="638"/>
      <c r="TW46" s="638"/>
      <c r="TX46" s="638"/>
      <c r="TY46" s="638"/>
      <c r="TZ46" s="638"/>
      <c r="UA46" s="638"/>
      <c r="UB46" s="638"/>
      <c r="UC46" s="638"/>
      <c r="UD46" s="638"/>
      <c r="UE46" s="638"/>
      <c r="UF46" s="638"/>
      <c r="UG46" s="638"/>
      <c r="UH46" s="638"/>
      <c r="UI46" s="638"/>
      <c r="UJ46" s="638"/>
      <c r="UK46" s="638"/>
      <c r="UL46" s="638"/>
      <c r="UM46" s="638"/>
      <c r="UN46" s="638"/>
      <c r="UO46" s="638"/>
      <c r="UP46" s="638"/>
      <c r="UQ46" s="638"/>
      <c r="UR46" s="638"/>
      <c r="US46" s="638"/>
      <c r="UT46" s="638"/>
      <c r="UU46" s="638"/>
      <c r="UV46" s="638"/>
      <c r="UW46" s="638"/>
      <c r="UX46" s="638"/>
      <c r="UY46" s="638"/>
      <c r="UZ46" s="638"/>
      <c r="VA46" s="638"/>
      <c r="VB46" s="638"/>
      <c r="VC46" s="638"/>
      <c r="VD46" s="638"/>
      <c r="VE46" s="638"/>
      <c r="VF46" s="638"/>
      <c r="VG46" s="638"/>
      <c r="VH46" s="638"/>
      <c r="VI46" s="638"/>
      <c r="VJ46" s="638"/>
      <c r="VK46" s="638"/>
      <c r="VL46" s="638"/>
      <c r="VM46" s="638"/>
      <c r="VN46" s="638"/>
      <c r="VO46" s="638"/>
      <c r="VP46" s="638"/>
      <c r="VQ46" s="638"/>
      <c r="VR46" s="638"/>
      <c r="VS46" s="638"/>
      <c r="VT46" s="638"/>
      <c r="VU46" s="638"/>
      <c r="VV46" s="638"/>
      <c r="VW46" s="638"/>
      <c r="VX46" s="638"/>
      <c r="VY46" s="638"/>
      <c r="VZ46" s="638"/>
      <c r="WA46" s="638"/>
      <c r="WB46" s="638"/>
      <c r="WC46" s="638"/>
      <c r="WD46" s="638"/>
      <c r="WE46" s="638"/>
      <c r="WF46" s="638"/>
      <c r="WG46" s="638"/>
      <c r="WH46" s="638"/>
      <c r="WI46" s="638"/>
      <c r="WJ46" s="638"/>
      <c r="WK46" s="638"/>
      <c r="WL46" s="638"/>
      <c r="WM46" s="638"/>
      <c r="WN46" s="638"/>
      <c r="WO46" s="638"/>
      <c r="WP46" s="638"/>
      <c r="WQ46" s="638"/>
      <c r="WR46" s="638"/>
      <c r="WS46" s="638"/>
      <c r="WT46" s="638"/>
      <c r="WU46" s="638"/>
      <c r="WV46" s="638"/>
      <c r="WW46" s="638"/>
      <c r="WX46" s="638"/>
      <c r="WY46" s="638"/>
      <c r="WZ46" s="638"/>
      <c r="XA46" s="638"/>
      <c r="XB46" s="638"/>
      <c r="XC46" s="638"/>
      <c r="XD46" s="638"/>
      <c r="XE46" s="638"/>
      <c r="XF46" s="638"/>
      <c r="XG46" s="638"/>
      <c r="XH46" s="638"/>
      <c r="XI46" s="638"/>
      <c r="XJ46" s="638"/>
      <c r="XK46" s="638"/>
      <c r="XL46" s="638"/>
      <c r="XM46" s="638"/>
      <c r="XN46" s="638"/>
      <c r="XO46" s="638"/>
      <c r="XP46" s="638"/>
      <c r="XQ46" s="638"/>
      <c r="XR46" s="638"/>
      <c r="XS46" s="638"/>
      <c r="XT46" s="638"/>
      <c r="XU46" s="638"/>
      <c r="XV46" s="638"/>
      <c r="XW46" s="638"/>
      <c r="XX46" s="638"/>
      <c r="XY46" s="638"/>
      <c r="XZ46" s="638"/>
      <c r="YA46" s="638"/>
      <c r="YB46" s="638"/>
      <c r="YC46" s="638"/>
      <c r="YD46" s="638"/>
      <c r="YE46" s="638"/>
      <c r="YF46" s="638"/>
      <c r="YG46" s="638"/>
      <c r="YH46" s="638"/>
      <c r="YI46" s="638"/>
      <c r="YJ46" s="638"/>
      <c r="YK46" s="638"/>
      <c r="YL46" s="638"/>
      <c r="YM46" s="638"/>
      <c r="YN46" s="638"/>
      <c r="YO46" s="638"/>
      <c r="YP46" s="638"/>
      <c r="YQ46" s="638"/>
      <c r="YR46" s="638"/>
      <c r="YS46" s="638"/>
      <c r="YT46" s="638"/>
      <c r="YU46" s="638"/>
      <c r="YV46" s="638"/>
      <c r="YW46" s="638"/>
      <c r="YX46" s="638"/>
      <c r="YY46" s="638"/>
      <c r="YZ46" s="638"/>
      <c r="ZA46" s="638"/>
      <c r="ZB46" s="638"/>
      <c r="ZC46" s="638"/>
      <c r="ZD46" s="638"/>
      <c r="ZE46" s="638"/>
      <c r="ZF46" s="638"/>
      <c r="ZG46" s="638"/>
      <c r="ZH46" s="638"/>
      <c r="ZI46" s="638"/>
      <c r="ZJ46" s="638"/>
      <c r="ZK46" s="638"/>
      <c r="ZL46" s="638"/>
      <c r="ZM46" s="638"/>
      <c r="ZN46" s="638"/>
      <c r="ZO46" s="638"/>
      <c r="ZP46" s="638"/>
      <c r="ZQ46" s="638"/>
      <c r="ZR46" s="638"/>
      <c r="ZS46" s="638"/>
      <c r="ZT46" s="638"/>
      <c r="ZU46" s="638"/>
      <c r="ZV46" s="638"/>
      <c r="ZW46" s="638"/>
      <c r="ZX46" s="638"/>
      <c r="ZY46" s="641"/>
      <c r="ZZ46" s="624"/>
      <c r="AAA46" s="590"/>
      <c r="AAD46" s="113"/>
      <c r="AAE46" s="553">
        <v>1</v>
      </c>
      <c r="AAF46" s="585" t="s">
        <v>199</v>
      </c>
      <c r="AAG46" s="63"/>
      <c r="AAH46" s="63"/>
      <c r="AAI46" s="77"/>
      <c r="AAJ46" s="56"/>
      <c r="AAK46" s="56"/>
      <c r="AAL46" s="39"/>
      <c r="AAM46" s="113"/>
      <c r="AAN46"/>
      <c r="AAT46" s="23"/>
      <c r="AAU46" s="44"/>
    </row>
    <row r="47" spans="1:732" ht="15.75" customHeight="1" outlineLevel="1">
      <c r="A47" s="560"/>
      <c r="B47" s="673" t="s">
        <v>348</v>
      </c>
      <c r="C47" s="348"/>
      <c r="D47" s="170" t="s">
        <v>162</v>
      </c>
      <c r="E47" s="369">
        <f t="shared" ref="E47:E50" si="725">NETWORKDAYS(G47,H47,S.DDL_DEQClosed)</f>
        <v>1</v>
      </c>
      <c r="F47" s="369">
        <f ca="1">NETWORKDAYS(TODAY(),H47)</f>
        <v>-9</v>
      </c>
      <c r="G47" s="370">
        <f>AAG47</f>
        <v>41369</v>
      </c>
      <c r="H47" s="370">
        <f>AAH47</f>
        <v>41369</v>
      </c>
      <c r="I47" s="629"/>
      <c r="J47" s="596"/>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90"/>
      <c r="AAD47" s="113"/>
      <c r="AAE47" s="553">
        <v>1</v>
      </c>
      <c r="AAF47" s="113" t="s">
        <v>0</v>
      </c>
      <c r="AAG47" s="78">
        <f>S.BANNER.PlanningStart</f>
        <v>41369</v>
      </c>
      <c r="AAH47" s="78">
        <f>G47</f>
        <v>41369</v>
      </c>
      <c r="AAI47" s="77"/>
      <c r="AAJ47" s="56"/>
      <c r="AAK47" s="56"/>
      <c r="AAL47" s="39"/>
      <c r="AAM47" s="113"/>
      <c r="AAN47"/>
      <c r="AAT47" s="23"/>
      <c r="AAU47" s="44"/>
    </row>
    <row r="48" spans="1:732" ht="15.75" customHeight="1" outlineLevel="1">
      <c r="A48" s="560"/>
      <c r="B48" s="347" t="s">
        <v>77</v>
      </c>
      <c r="C48" s="348"/>
      <c r="D48" s="170" t="s">
        <v>287</v>
      </c>
      <c r="E48" s="369">
        <f t="shared" si="725"/>
        <v>1</v>
      </c>
      <c r="F48" s="369">
        <f ca="1">NETWORKDAYS(TODAY(),H48)</f>
        <v>-9</v>
      </c>
      <c r="G48" s="370">
        <f t="shared" ref="G48:G50" si="726">AAG48</f>
        <v>41369</v>
      </c>
      <c r="H48" s="370">
        <f t="shared" ref="H48:H49" si="727">AAH48</f>
        <v>41369</v>
      </c>
      <c r="I48" s="629"/>
      <c r="J48" s="596"/>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90"/>
      <c r="AAD48" s="113"/>
      <c r="AAE48" s="553">
        <v>1</v>
      </c>
      <c r="AAF48" s="113" t="s">
        <v>0</v>
      </c>
      <c r="AAG48" s="78">
        <f>H47</f>
        <v>41369</v>
      </c>
      <c r="AAH48" s="78">
        <f t="shared" ref="AAH48:AAH50" si="728">G48</f>
        <v>41369</v>
      </c>
      <c r="AAI48" s="77"/>
      <c r="AAJ48" s="56"/>
      <c r="AAK48" s="56"/>
      <c r="AAL48" s="39"/>
      <c r="AAM48" s="113"/>
      <c r="AAN48"/>
      <c r="AAT48" s="23"/>
      <c r="AAU48" s="44"/>
    </row>
    <row r="49" spans="1:732" ht="15.75" customHeight="1" outlineLevel="1">
      <c r="A49" s="560"/>
      <c r="B49" s="349" t="s">
        <v>349</v>
      </c>
      <c r="C49" s="348"/>
      <c r="D49" s="170" t="s">
        <v>287</v>
      </c>
      <c r="E49" s="369">
        <f t="shared" si="725"/>
        <v>1</v>
      </c>
      <c r="F49" s="369">
        <f ca="1">NETWORKDAYS(TODAY(),H49)</f>
        <v>-9</v>
      </c>
      <c r="G49" s="370">
        <f t="shared" si="726"/>
        <v>41369</v>
      </c>
      <c r="H49" s="370">
        <f t="shared" si="727"/>
        <v>41369</v>
      </c>
      <c r="I49" s="629"/>
      <c r="J49" s="593"/>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90"/>
      <c r="AAD49" s="113"/>
      <c r="AAE49" s="553">
        <v>1</v>
      </c>
      <c r="AAF49" s="113" t="s">
        <v>0</v>
      </c>
      <c r="AAG49" s="78">
        <f t="shared" ref="AAG49:AAG50" si="729">H48</f>
        <v>41369</v>
      </c>
      <c r="AAH49" s="78">
        <f t="shared" si="728"/>
        <v>41369</v>
      </c>
      <c r="AAI49" s="77"/>
      <c r="AAJ49" s="56"/>
      <c r="AAK49" s="56"/>
      <c r="AAL49" s="39"/>
      <c r="AAM49" s="113"/>
      <c r="AAN49"/>
      <c r="AAT49" s="23"/>
      <c r="AAU49" s="44"/>
    </row>
    <row r="50" spans="1:732" ht="15.75" customHeight="1" outlineLevel="1">
      <c r="A50" s="560"/>
      <c r="B50" s="350" t="s">
        <v>294</v>
      </c>
      <c r="C50" s="348"/>
      <c r="D50" s="170" t="s">
        <v>181</v>
      </c>
      <c r="E50" s="369">
        <f t="shared" si="725"/>
        <v>1</v>
      </c>
      <c r="F50" s="369">
        <f ca="1">NETWORKDAYS(TODAY(),H50)</f>
        <v>-9</v>
      </c>
      <c r="G50" s="370">
        <f t="shared" si="726"/>
        <v>41369</v>
      </c>
      <c r="H50" s="371">
        <f>AAH50</f>
        <v>41369</v>
      </c>
      <c r="I50" s="629"/>
      <c r="J50" s="593"/>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90"/>
      <c r="AAD50" s="113"/>
      <c r="AAE50" s="553">
        <v>1</v>
      </c>
      <c r="AAF50" s="113" t="s">
        <v>0</v>
      </c>
      <c r="AAG50" s="78">
        <f t="shared" si="729"/>
        <v>41369</v>
      </c>
      <c r="AAH50" s="78">
        <f t="shared" si="728"/>
        <v>41369</v>
      </c>
      <c r="AAI50" s="77"/>
      <c r="AAJ50" s="56"/>
      <c r="AAK50" s="56"/>
      <c r="AAL50" s="39"/>
      <c r="AAM50" s="113"/>
      <c r="AAN50"/>
      <c r="AAT50" s="23"/>
      <c r="AAU50" s="44"/>
    </row>
    <row r="51" spans="1:732" ht="15.75" customHeight="1" outlineLevel="1">
      <c r="A51" s="560"/>
      <c r="B51" s="351" t="s">
        <v>76</v>
      </c>
      <c r="C51" s="707" t="s">
        <v>0</v>
      </c>
      <c r="D51" s="352"/>
      <c r="E51" s="353"/>
      <c r="F51" s="353"/>
      <c r="G51" s="352"/>
      <c r="H51" s="352"/>
      <c r="I51" s="590"/>
      <c r="J51" s="593"/>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9"/>
      <c r="ZZ51" s="624"/>
      <c r="AAA51" s="590"/>
      <c r="AAD51" s="113"/>
      <c r="AAE51" s="553">
        <v>1</v>
      </c>
      <c r="AAF51" s="585" t="s">
        <v>199</v>
      </c>
      <c r="AAG51" s="76"/>
      <c r="AAH51" s="76"/>
      <c r="AAI51" s="76"/>
      <c r="AAJ51" s="56"/>
      <c r="AAK51" s="56"/>
      <c r="AAL51" s="39"/>
      <c r="AAM51" s="113"/>
      <c r="AAN51"/>
      <c r="AAT51" s="23"/>
      <c r="AAU51" s="44"/>
    </row>
    <row r="52" spans="1:732" ht="15.75" customHeight="1" outlineLevel="1">
      <c r="A52" s="560"/>
      <c r="B52" s="351" t="s">
        <v>137</v>
      </c>
      <c r="C52" s="707" t="s">
        <v>0</v>
      </c>
      <c r="D52" s="354"/>
      <c r="E52" s="355"/>
      <c r="F52" s="353"/>
      <c r="G52" s="356"/>
      <c r="H52" s="357"/>
      <c r="I52" s="590"/>
      <c r="J52" s="593"/>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9"/>
      <c r="ZZ52" s="624"/>
      <c r="AAA52" s="590"/>
      <c r="AAD52" s="113"/>
      <c r="AAE52" s="553">
        <v>1</v>
      </c>
      <c r="AAF52" s="585" t="s">
        <v>199</v>
      </c>
      <c r="AAG52" s="76"/>
      <c r="AAH52" s="76"/>
      <c r="AAI52" s="76"/>
      <c r="AAJ52" s="56"/>
      <c r="AAK52" s="56"/>
      <c r="AAL52" s="39"/>
      <c r="AAM52" s="113"/>
      <c r="AAN52"/>
      <c r="AAT52" s="23"/>
      <c r="AAU52" s="44"/>
    </row>
    <row r="53" spans="1:732" ht="15.75" customHeight="1" outlineLevel="1">
      <c r="A53" s="560"/>
      <c r="B53" s="351" t="s">
        <v>71</v>
      </c>
      <c r="C53" s="680" t="s">
        <v>93</v>
      </c>
      <c r="D53" s="156"/>
      <c r="E53" s="157"/>
      <c r="F53" s="155"/>
      <c r="G53" s="158"/>
      <c r="H53" s="162"/>
      <c r="I53" s="590"/>
      <c r="J53" s="593"/>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9"/>
      <c r="ZZ53" s="624"/>
      <c r="AAA53" s="590"/>
      <c r="AAD53" s="113"/>
      <c r="AAE53" s="553">
        <v>1</v>
      </c>
      <c r="AAF53" s="585" t="s">
        <v>199</v>
      </c>
      <c r="AAG53" s="76"/>
      <c r="AAH53" s="76"/>
      <c r="AAI53" s="76"/>
      <c r="AAJ53" s="56"/>
      <c r="AAK53" s="56"/>
      <c r="AAL53" s="39"/>
      <c r="AAM53" s="113"/>
      <c r="AAN53"/>
      <c r="AAT53" s="23"/>
      <c r="AAU53" s="44"/>
    </row>
    <row r="54" spans="1:732" ht="15.75" customHeight="1" outlineLevel="1">
      <c r="A54" s="560"/>
      <c r="B54" s="351" t="s">
        <v>70</v>
      </c>
      <c r="C54" s="708"/>
      <c r="D54" s="156"/>
      <c r="E54" s="157"/>
      <c r="F54" s="155"/>
      <c r="G54" s="158"/>
      <c r="H54" s="162"/>
      <c r="I54" s="590"/>
      <c r="J54" s="593"/>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9"/>
      <c r="ZZ54" s="624"/>
      <c r="AAA54" s="590"/>
      <c r="AAD54" s="113"/>
      <c r="AAE54" s="553">
        <v>1</v>
      </c>
      <c r="AAF54" s="585" t="s">
        <v>199</v>
      </c>
      <c r="AAG54" s="76"/>
      <c r="AAH54" s="76"/>
      <c r="AAI54" s="76"/>
      <c r="AAJ54" s="56"/>
      <c r="AAK54" s="56"/>
      <c r="AAL54" s="39"/>
      <c r="AAM54" s="113"/>
      <c r="AAN54"/>
      <c r="AAT54" s="23"/>
      <c r="AAU54" s="44"/>
    </row>
    <row r="55" spans="1:732" ht="15.75" customHeight="1" outlineLevel="1">
      <c r="A55" s="560"/>
      <c r="B55" s="351" t="s">
        <v>295</v>
      </c>
      <c r="C55" s="709"/>
      <c r="D55" s="156"/>
      <c r="E55" s="157"/>
      <c r="F55" s="155"/>
      <c r="G55" s="158"/>
      <c r="H55" s="162"/>
      <c r="I55" s="590"/>
      <c r="J55" s="593"/>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9"/>
      <c r="ZZ55" s="624"/>
      <c r="AAA55" s="590"/>
      <c r="AAD55" s="113"/>
      <c r="AAE55" s="553">
        <v>1</v>
      </c>
      <c r="AAF55" s="585" t="s">
        <v>199</v>
      </c>
      <c r="AAG55" s="76"/>
      <c r="AAH55" s="76"/>
      <c r="AAI55" s="76"/>
      <c r="AAJ55" s="56"/>
      <c r="AAK55" s="56"/>
      <c r="AAL55" s="39"/>
      <c r="AAM55" s="113"/>
      <c r="AAN55"/>
      <c r="AAT55" s="23"/>
      <c r="AAU55" s="44"/>
    </row>
    <row r="56" spans="1:732" ht="15.75" customHeight="1" outlineLevel="1">
      <c r="A56" s="560"/>
      <c r="B56" s="351" t="s">
        <v>351</v>
      </c>
      <c r="C56" s="709"/>
      <c r="D56" s="156"/>
      <c r="E56" s="157"/>
      <c r="F56" s="155"/>
      <c r="G56" s="158"/>
      <c r="H56" s="162"/>
      <c r="I56" s="590"/>
      <c r="J56" s="593"/>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9"/>
      <c r="ZZ56" s="624"/>
      <c r="AAA56" s="590"/>
      <c r="AAD56" s="113"/>
      <c r="AAE56" s="553">
        <v>1</v>
      </c>
      <c r="AAF56" s="585" t="s">
        <v>199</v>
      </c>
      <c r="AAG56" s="76"/>
      <c r="AAH56" s="76"/>
      <c r="AAI56" s="76"/>
      <c r="AAJ56" s="56"/>
      <c r="AAK56" s="56"/>
      <c r="AAL56" s="39"/>
      <c r="AAM56" s="113"/>
      <c r="AAN56"/>
      <c r="AAT56" s="23"/>
      <c r="AAU56" s="44"/>
    </row>
    <row r="57" spans="1:732" ht="15.75" customHeight="1" outlineLevel="1">
      <c r="A57" s="560"/>
      <c r="B57" s="358" t="s">
        <v>72</v>
      </c>
      <c r="C57" s="288" t="s">
        <v>94</v>
      </c>
      <c r="D57" s="156"/>
      <c r="E57" s="157"/>
      <c r="F57" s="155"/>
      <c r="G57" s="158"/>
      <c r="H57" s="162"/>
      <c r="I57" s="590"/>
      <c r="J57" s="593"/>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9"/>
      <c r="ZZ57" s="624"/>
      <c r="AAA57" s="590"/>
      <c r="AAD57" s="113"/>
      <c r="AAE57" s="553">
        <v>1</v>
      </c>
      <c r="AAF57" s="585" t="s">
        <v>199</v>
      </c>
      <c r="AAG57" s="76"/>
      <c r="AAH57" s="76"/>
      <c r="AAI57" s="76"/>
      <c r="AAJ57" s="56"/>
      <c r="AAK57" s="56"/>
      <c r="AAL57" s="39"/>
      <c r="AAM57" s="113"/>
      <c r="AAN57"/>
      <c r="AAT57" s="23"/>
      <c r="AAU57" s="44"/>
    </row>
    <row r="58" spans="1:732" ht="15.75" customHeight="1" outlineLevel="1">
      <c r="A58" s="560"/>
      <c r="B58" s="359" t="s">
        <v>356</v>
      </c>
      <c r="C58" s="676" t="s">
        <v>350</v>
      </c>
      <c r="D58" s="156"/>
      <c r="E58" s="157"/>
      <c r="F58" s="155"/>
      <c r="G58" s="158"/>
      <c r="H58" s="162"/>
      <c r="I58" s="590"/>
      <c r="J58" s="593"/>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9"/>
      <c r="ZZ58" s="624"/>
      <c r="AAA58" s="590"/>
      <c r="AAD58" s="113"/>
      <c r="AAE58" s="553">
        <v>1</v>
      </c>
      <c r="AAF58" s="585" t="s">
        <v>199</v>
      </c>
      <c r="AAG58" s="76"/>
      <c r="AAH58" s="76"/>
      <c r="AAI58" s="76"/>
      <c r="AAJ58" s="56"/>
      <c r="AAK58" s="56"/>
      <c r="AAL58" s="39"/>
      <c r="AAM58" s="113"/>
      <c r="AAN58"/>
      <c r="AAT58" s="23"/>
      <c r="AAU58" s="44"/>
    </row>
    <row r="59" spans="1:732" ht="15.75" customHeight="1" outlineLevel="1">
      <c r="A59" s="560"/>
      <c r="B59" s="359" t="s">
        <v>346</v>
      </c>
      <c r="C59" s="709"/>
      <c r="D59" s="159"/>
      <c r="E59" s="155"/>
      <c r="F59" s="155"/>
      <c r="G59" s="154"/>
      <c r="H59" s="154"/>
      <c r="I59" s="590"/>
      <c r="J59" s="593"/>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9"/>
      <c r="ZZ59" s="624"/>
      <c r="AAA59" s="590"/>
      <c r="AAD59" s="113"/>
      <c r="AAE59" s="553">
        <v>1</v>
      </c>
      <c r="AAF59" s="585" t="s">
        <v>199</v>
      </c>
      <c r="AAG59" s="76"/>
      <c r="AAH59" s="76"/>
      <c r="AAI59" s="76"/>
      <c r="AAJ59" s="56"/>
      <c r="AAK59" s="56"/>
      <c r="AAL59" s="39"/>
      <c r="AAM59" s="113"/>
      <c r="AAN59"/>
      <c r="AAT59" s="23"/>
      <c r="AAU59" s="44"/>
    </row>
    <row r="60" spans="1:732" ht="15.75" customHeight="1" outlineLevel="1">
      <c r="A60" s="560"/>
      <c r="B60" s="359" t="s">
        <v>357</v>
      </c>
      <c r="C60" s="676" t="s">
        <v>350</v>
      </c>
      <c r="D60" s="159"/>
      <c r="E60" s="123"/>
      <c r="F60" s="155"/>
      <c r="G60" s="160"/>
      <c r="H60" s="164"/>
      <c r="I60" s="590"/>
      <c r="J60" s="593"/>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9"/>
      <c r="ZZ60" s="624"/>
      <c r="AAA60" s="590"/>
      <c r="AAD60" s="113"/>
      <c r="AAE60" s="553">
        <f>IF(S.InvolveNotice=TRUE,1,0)</f>
        <v>1</v>
      </c>
      <c r="AAF60" s="585" t="s">
        <v>199</v>
      </c>
      <c r="AAG60" s="76"/>
      <c r="AAH60" s="76"/>
      <c r="AAI60" s="76"/>
      <c r="AAJ60" s="56"/>
      <c r="AAK60" s="56"/>
      <c r="AAL60" s="39"/>
      <c r="AAM60" s="113"/>
      <c r="AAN60"/>
      <c r="AAT60" s="23"/>
      <c r="AAU60" s="44"/>
    </row>
    <row r="61" spans="1:732" ht="15.75" customHeight="1" outlineLevel="1">
      <c r="A61" s="560"/>
      <c r="B61" s="359" t="s">
        <v>358</v>
      </c>
      <c r="C61" s="676" t="s">
        <v>350</v>
      </c>
      <c r="D61" s="154"/>
      <c r="E61" s="123"/>
      <c r="F61" s="161"/>
      <c r="G61" s="162"/>
      <c r="H61" s="162"/>
      <c r="I61" s="590"/>
      <c r="J61" s="593"/>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9"/>
      <c r="ZZ61" s="624"/>
      <c r="AAA61" s="590"/>
      <c r="AAD61" s="113"/>
      <c r="AAE61" s="553">
        <f>IF(S.InvolveFee=TRUE,1,0)</f>
        <v>1</v>
      </c>
      <c r="AAF61" s="585" t="s">
        <v>199</v>
      </c>
      <c r="AAG61" s="76" t="s">
        <v>0</v>
      </c>
      <c r="AAH61" s="76"/>
      <c r="AAI61" s="76"/>
      <c r="AAJ61" s="56"/>
      <c r="AAK61" s="56"/>
      <c r="AAL61" s="39"/>
      <c r="AAM61" s="113"/>
      <c r="AAN61"/>
      <c r="AAT61" s="23"/>
      <c r="AAU61" s="44"/>
      <c r="AAV61" s="23"/>
      <c r="AAW61" s="23"/>
      <c r="AAX61" s="23"/>
      <c r="AAY61" s="23"/>
      <c r="AAZ61" s="23"/>
      <c r="ABA61" s="23"/>
      <c r="ABB61" s="23"/>
      <c r="ABC61" s="23"/>
      <c r="ABD61" s="23"/>
    </row>
    <row r="62" spans="1:732" s="23" customFormat="1" ht="15.75" customHeight="1" outlineLevel="1">
      <c r="A62" s="560"/>
      <c r="B62" s="359" t="s">
        <v>359</v>
      </c>
      <c r="C62" s="676" t="s">
        <v>350</v>
      </c>
      <c r="D62" s="154"/>
      <c r="E62" s="123"/>
      <c r="F62" s="161"/>
      <c r="G62" s="162"/>
      <c r="H62" s="162"/>
      <c r="I62" s="590"/>
      <c r="J62" s="593"/>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9"/>
      <c r="ZZ62" s="624"/>
      <c r="AAA62" s="590"/>
      <c r="AAB62"/>
      <c r="AAC62"/>
      <c r="AAD62" s="113"/>
      <c r="AAE62" s="553">
        <f>IF(S.InvolveNotice=TRUE,1,0)</f>
        <v>1</v>
      </c>
      <c r="AAF62" s="585" t="s">
        <v>199</v>
      </c>
      <c r="AAG62" s="76"/>
      <c r="AAH62" s="76"/>
      <c r="AAI62" s="76"/>
      <c r="AAJ62" s="56"/>
      <c r="AAK62" s="56"/>
      <c r="AAL62" s="39"/>
      <c r="AAM62" s="113"/>
      <c r="AAU62" s="44"/>
      <c r="AAV62"/>
      <c r="AAW62"/>
      <c r="AAX62"/>
      <c r="AAY62"/>
      <c r="AAZ62"/>
      <c r="ABA62"/>
      <c r="ABB62"/>
      <c r="ABC62"/>
      <c r="ABD62"/>
    </row>
    <row r="63" spans="1:732" ht="15.75" customHeight="1" outlineLevel="1">
      <c r="A63" s="560"/>
      <c r="B63" s="359" t="s">
        <v>360</v>
      </c>
      <c r="C63" s="676" t="s">
        <v>350</v>
      </c>
      <c r="D63" s="159"/>
      <c r="E63" s="123"/>
      <c r="F63" s="161"/>
      <c r="G63" s="163"/>
      <c r="H63" s="162"/>
      <c r="I63" s="590"/>
      <c r="J63" s="593"/>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9"/>
      <c r="ZZ63" s="624"/>
      <c r="AAA63" s="590"/>
      <c r="AAD63" s="113"/>
      <c r="AAE63" s="553">
        <v>1</v>
      </c>
      <c r="AAF63" s="585" t="s">
        <v>199</v>
      </c>
      <c r="AAG63" s="76"/>
      <c r="AAH63" s="76"/>
      <c r="AAI63" s="76"/>
      <c r="AAJ63" s="56"/>
      <c r="AAK63" s="56"/>
      <c r="AAL63" s="39"/>
      <c r="AAM63" s="113"/>
      <c r="AAN63"/>
      <c r="AAT63" s="23"/>
      <c r="AAU63" s="44"/>
    </row>
    <row r="64" spans="1:732" ht="15.75" customHeight="1" outlineLevel="1">
      <c r="A64" s="560"/>
      <c r="B64" s="351" t="str">
        <f>AAL64</f>
        <v>Review/refine RESOURCES</v>
      </c>
      <c r="C64" s="679" t="s">
        <v>93</v>
      </c>
      <c r="D64" s="159"/>
      <c r="E64" s="123"/>
      <c r="F64" s="155"/>
      <c r="G64" s="154"/>
      <c r="H64" s="154"/>
      <c r="I64" s="590"/>
      <c r="J64" s="593"/>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9"/>
      <c r="ZZ64" s="624"/>
      <c r="AAA64" s="590"/>
      <c r="AAD64" s="113"/>
      <c r="AAE64" s="553">
        <v>1</v>
      </c>
      <c r="AAF64" s="585" t="s">
        <v>199</v>
      </c>
      <c r="AAG64" s="76"/>
      <c r="AAH64" s="76"/>
      <c r="AAI64" s="77"/>
      <c r="AAJ64" s="56"/>
      <c r="AAK64" s="56"/>
      <c r="AAL64" s="92" t="str">
        <f>"Review/refine "&amp;S.CodeName&amp;"RESOURCES"</f>
        <v>Review/refine RESOURCES</v>
      </c>
      <c r="AAM64" s="113"/>
      <c r="AAN64"/>
      <c r="AAT64" s="23"/>
      <c r="AAU64" s="44"/>
    </row>
    <row r="65" spans="1:732" ht="15.75" customHeight="1" outlineLevel="1">
      <c r="A65" s="560"/>
      <c r="B65" s="351" t="str">
        <f>AAL65</f>
        <v>Review/refine CONSIDERATIONS</v>
      </c>
      <c r="C65" s="679" t="s">
        <v>93</v>
      </c>
      <c r="D65" s="159"/>
      <c r="E65" s="123"/>
      <c r="F65" s="155"/>
      <c r="G65" s="164"/>
      <c r="H65" s="154"/>
      <c r="I65" s="590"/>
      <c r="J65" s="593"/>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9"/>
      <c r="ZZ65" s="624"/>
      <c r="AAA65" s="590"/>
      <c r="AAD65" s="113"/>
      <c r="AAE65" s="553">
        <v>1</v>
      </c>
      <c r="AAF65" s="585" t="s">
        <v>199</v>
      </c>
      <c r="AAG65" s="76"/>
      <c r="AAH65" s="76"/>
      <c r="AAI65" s="77"/>
      <c r="AAJ65" s="56"/>
      <c r="AAK65" s="56"/>
      <c r="AAL65" s="92" t="str">
        <f>"Review/refine "&amp;S.CodeName&amp;"CONSIDERATIONS"</f>
        <v>Review/refine CONSIDERATIONS</v>
      </c>
      <c r="AAM65" s="113"/>
      <c r="AAN65"/>
      <c r="AAT65" s="23"/>
      <c r="AAU65" s="44"/>
      <c r="AAV65" s="23"/>
      <c r="AAW65" s="23"/>
      <c r="AAX65" s="23"/>
      <c r="AAY65" s="23"/>
      <c r="AAZ65" s="23"/>
      <c r="ABA65" s="23"/>
      <c r="ABB65" s="23"/>
      <c r="ABC65" s="23"/>
      <c r="ABD65" s="23"/>
    </row>
    <row r="66" spans="1:732" ht="15.75" customHeight="1" outlineLevel="1">
      <c r="A66" s="560"/>
      <c r="B66" s="360" t="s">
        <v>64</v>
      </c>
      <c r="C66" s="361"/>
      <c r="D66" s="162"/>
      <c r="E66" s="161"/>
      <c r="F66" s="161"/>
      <c r="G66" s="162" t="s">
        <v>0</v>
      </c>
      <c r="H66" s="162"/>
      <c r="I66" s="590"/>
      <c r="J66" s="593"/>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9"/>
      <c r="ZZ66" s="624"/>
      <c r="AAA66" s="590"/>
      <c r="AAD66" s="113"/>
      <c r="AAE66" s="553">
        <v>1</v>
      </c>
      <c r="AAF66" s="585" t="s">
        <v>199</v>
      </c>
      <c r="AAG66" s="76"/>
      <c r="AAH66" s="76"/>
      <c r="AAI66" s="77"/>
      <c r="AAJ66" s="56"/>
      <c r="AAK66" s="56"/>
      <c r="AAL66" s="76"/>
      <c r="AAM66" s="113"/>
      <c r="AAN66"/>
      <c r="AAT66" s="23"/>
      <c r="AAU66" s="44"/>
    </row>
    <row r="67" spans="1:732" s="23" customFormat="1" ht="15.75" customHeight="1" outlineLevel="1">
      <c r="A67" s="560"/>
      <c r="B67" s="765" t="s">
        <v>211</v>
      </c>
      <c r="C67" s="765"/>
      <c r="D67" s="230" t="s">
        <v>213</v>
      </c>
      <c r="E67" s="369">
        <f>NETWORKDAYS(G67,H67,S.DDL_DEQClosed)</f>
        <v>1</v>
      </c>
      <c r="F67" s="369">
        <f ca="1">NETWORKDAYS(TODAY(),H67)</f>
        <v>-9</v>
      </c>
      <c r="G67" s="370">
        <f t="shared" ref="G67:H70" si="730">AAG67</f>
        <v>41369</v>
      </c>
      <c r="H67" s="370">
        <f t="shared" si="730"/>
        <v>41369</v>
      </c>
      <c r="I67" s="629"/>
      <c r="J67" s="593"/>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90"/>
      <c r="AAB67"/>
      <c r="AAC67"/>
      <c r="AAD67" s="113"/>
      <c r="AAE67" s="553">
        <v>1</v>
      </c>
      <c r="AAF67" s="113"/>
      <c r="AAG67" s="78">
        <f>H50</f>
        <v>41369</v>
      </c>
      <c r="AAH67" s="78">
        <f>G67</f>
        <v>41369</v>
      </c>
      <c r="AAI67" s="77"/>
      <c r="AAJ67" s="80"/>
      <c r="AAK67" s="80"/>
      <c r="AAL67" s="63"/>
      <c r="AAM67" s="113"/>
      <c r="AAU67" s="44"/>
      <c r="AAV67"/>
      <c r="AAW67"/>
      <c r="AAX67"/>
      <c r="AAY67"/>
      <c r="AAZ67"/>
      <c r="ABA67"/>
      <c r="ABB67"/>
      <c r="ABC67"/>
      <c r="ABD67"/>
    </row>
    <row r="68" spans="1:732" ht="15.75" customHeight="1" outlineLevel="1">
      <c r="A68" s="560"/>
      <c r="B68" s="133" t="str">
        <f>AAL68</f>
        <v>Save  rules as DRAFT.RULES</v>
      </c>
      <c r="C68" s="348"/>
      <c r="D68" s="230" t="s">
        <v>161</v>
      </c>
      <c r="E68" s="369">
        <f>NETWORKDAYS(G68,H68,S.DDL_DEQClosed)</f>
        <v>1</v>
      </c>
      <c r="F68" s="369">
        <f ca="1">NETWORKDAYS(TODAY(),H68)</f>
        <v>-9</v>
      </c>
      <c r="G68" s="370">
        <f t="shared" si="730"/>
        <v>41369</v>
      </c>
      <c r="H68" s="370">
        <f t="shared" si="730"/>
        <v>41369</v>
      </c>
      <c r="I68" s="629"/>
      <c r="J68" s="593"/>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90"/>
      <c r="AAD68" s="113"/>
      <c r="AAE68" s="553">
        <v>1</v>
      </c>
      <c r="AAF68" s="113"/>
      <c r="AAG68" s="78">
        <f>H67</f>
        <v>41369</v>
      </c>
      <c r="AAH68" s="78">
        <f>G68</f>
        <v>41369</v>
      </c>
      <c r="AAI68" s="77"/>
      <c r="AAJ68" s="66" t="s">
        <v>0</v>
      </c>
      <c r="AAK68" s="66"/>
      <c r="AAL68" s="92" t="str">
        <f xml:space="preserve"> "Save  rules as "&amp;S.CodeName&amp;"DRAFT.RULES"</f>
        <v>Save  rules as DRAFT.RULES</v>
      </c>
      <c r="AAM68" s="113"/>
      <c r="AAN68"/>
      <c r="AAT68" s="23"/>
      <c r="AAU68" s="44"/>
    </row>
    <row r="69" spans="1:732" ht="15.75" customHeight="1" outlineLevel="1">
      <c r="A69" s="560"/>
      <c r="B69" s="347" t="s">
        <v>212</v>
      </c>
      <c r="C69" s="348"/>
      <c r="D69" s="170" t="s">
        <v>214</v>
      </c>
      <c r="E69" s="369">
        <f>NETWORKDAYS(G69,H69,S.DDL_DEQClosed)</f>
        <v>1</v>
      </c>
      <c r="F69" s="369">
        <f ca="1">NETWORKDAYS(TODAY(),H69)</f>
        <v>-9</v>
      </c>
      <c r="G69" s="370">
        <f t="shared" si="730"/>
        <v>41369</v>
      </c>
      <c r="H69" s="370">
        <f t="shared" si="730"/>
        <v>41369</v>
      </c>
      <c r="I69" s="629"/>
      <c r="J69" s="593"/>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90"/>
      <c r="AAD69" s="113"/>
      <c r="AAE69" s="553">
        <v>1</v>
      </c>
      <c r="AAF69" s="113"/>
      <c r="AAG69" s="78">
        <f t="shared" ref="AAG69:AAG70" si="731">H68</f>
        <v>41369</v>
      </c>
      <c r="AAH69" s="78">
        <f>G69</f>
        <v>41369</v>
      </c>
      <c r="AAI69" s="77"/>
      <c r="AAJ69" s="56"/>
      <c r="AAK69" s="56"/>
      <c r="AAL69" s="39"/>
      <c r="AAM69" s="113"/>
      <c r="AAN69"/>
      <c r="AAT69" s="23"/>
      <c r="AAU69" s="44"/>
    </row>
    <row r="70" spans="1:732" ht="15.75" customHeight="1" outlineLevel="1">
      <c r="A70" s="560"/>
      <c r="B70" s="549" t="s">
        <v>330</v>
      </c>
      <c r="C70" s="678" t="s">
        <v>73</v>
      </c>
      <c r="D70" s="170" t="s">
        <v>180</v>
      </c>
      <c r="E70" s="369">
        <f>NETWORKDAYS(G70,H70,S.DDL_DEQClosed)</f>
        <v>1</v>
      </c>
      <c r="F70" s="369">
        <f ca="1">NETWORKDAYS(TODAY(),H70)</f>
        <v>-9</v>
      </c>
      <c r="G70" s="370">
        <f t="shared" si="730"/>
        <v>41369</v>
      </c>
      <c r="H70" s="370">
        <f t="shared" si="730"/>
        <v>41369</v>
      </c>
      <c r="I70" s="629"/>
      <c r="J70" s="593"/>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90"/>
      <c r="AAD70" s="113"/>
      <c r="AAE70" s="553">
        <v>1</v>
      </c>
      <c r="AAF70" s="113"/>
      <c r="AAG70" s="78">
        <f t="shared" si="731"/>
        <v>41369</v>
      </c>
      <c r="AAH70" s="78">
        <f>G70</f>
        <v>41369</v>
      </c>
      <c r="AAI70" s="77"/>
      <c r="AAJ70" s="56"/>
      <c r="AAK70" s="56"/>
      <c r="AAL70" s="39"/>
      <c r="AAM70" s="113"/>
      <c r="AAN70"/>
      <c r="AAT70" s="23"/>
      <c r="AAU70" s="44"/>
      <c r="AAV70" s="23"/>
      <c r="AAW70" s="23"/>
      <c r="AAX70" s="23"/>
      <c r="AAY70" s="23"/>
      <c r="AAZ70" s="23"/>
      <c r="ABA70" s="23"/>
      <c r="ABB70" s="23"/>
      <c r="ABC70" s="23"/>
      <c r="ABD70" s="23"/>
    </row>
    <row r="71" spans="1:732" s="23" customFormat="1" ht="15.75" hidden="1" customHeight="1" outlineLevel="1">
      <c r="A71" s="560"/>
      <c r="B71" s="362" t="s">
        <v>248</v>
      </c>
      <c r="C71" s="169"/>
      <c r="D71" s="372" t="s">
        <v>79</v>
      </c>
      <c r="E71" s="369">
        <f t="shared" ref="E71" si="732">NETWORKDAYS(G71,H71,S.DDL_DEQClosed)</f>
        <v>54</v>
      </c>
      <c r="F71" s="373">
        <f t="shared" ref="F71" ca="1" si="733">NETWORKDAYS(TODAY(),H71)</f>
        <v>55</v>
      </c>
      <c r="G71" s="539">
        <f>S.SIPStart</f>
        <v>41379</v>
      </c>
      <c r="H71" s="538">
        <f>AAH71</f>
        <v>41457</v>
      </c>
      <c r="I71" s="629"/>
      <c r="J71" s="594"/>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90"/>
      <c r="AAB71"/>
      <c r="AAC71"/>
      <c r="AAD71" s="113"/>
      <c r="AAE71" s="554">
        <f t="shared" ref="AAE71:AAE78" si="734">IF(S.InvolveSIP=TRUE,1,0)</f>
        <v>0</v>
      </c>
      <c r="AAF71" s="113"/>
      <c r="AAG71" s="78">
        <f>S.SIPStart</f>
        <v>41379</v>
      </c>
      <c r="AAH71" s="78">
        <f>S.SubmitNoticeToEPA</f>
        <v>41457</v>
      </c>
      <c r="AAI71" s="77"/>
      <c r="AAJ71" s="77"/>
      <c r="AAK71" s="77"/>
      <c r="AAL71" s="77"/>
      <c r="AAM71" s="113"/>
      <c r="AAU71" s="44"/>
      <c r="AAV71"/>
      <c r="AAW71"/>
      <c r="AAX71"/>
      <c r="AAY71"/>
      <c r="AAZ71"/>
      <c r="ABA71"/>
      <c r="ABB71"/>
      <c r="ABC71"/>
      <c r="ABD71"/>
    </row>
    <row r="72" spans="1:732" ht="15.75" hidden="1" customHeight="1" outlineLevel="2">
      <c r="A72" s="560"/>
      <c r="B72" s="363" t="s">
        <v>331</v>
      </c>
      <c r="C72" s="169"/>
      <c r="D72" s="372" t="s">
        <v>79</v>
      </c>
      <c r="E72" s="369">
        <f t="shared" ref="E72:E78" si="735">NETWORKDAYS(G72,H72,S.DDL_DEQClosed)</f>
        <v>1</v>
      </c>
      <c r="F72" s="373">
        <f t="shared" ref="F72:F78" ca="1" si="736">NETWORKDAYS(TODAY(),H72)</f>
        <v>-3</v>
      </c>
      <c r="G72" s="589">
        <f>AAG72</f>
        <v>41379</v>
      </c>
      <c r="H72" s="370">
        <f t="shared" ref="H72:H77" si="737">AAH72</f>
        <v>41379</v>
      </c>
      <c r="I72" s="629"/>
      <c r="J72" s="594"/>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90"/>
      <c r="AAD72" s="113"/>
      <c r="AAE72" s="554">
        <f t="shared" si="734"/>
        <v>0</v>
      </c>
      <c r="AAF72" s="585"/>
      <c r="AAG72" s="78">
        <f>S.SIPStart</f>
        <v>41379</v>
      </c>
      <c r="AAH72" s="78">
        <f>G72</f>
        <v>41379</v>
      </c>
      <c r="AAI72" s="77"/>
      <c r="AAJ72" s="56"/>
      <c r="AAK72" s="56"/>
      <c r="AAL72" s="40"/>
      <c r="AAM72" s="113"/>
      <c r="AAN72"/>
      <c r="AAT72" s="23"/>
      <c r="AAU72" s="44"/>
    </row>
    <row r="73" spans="1:732" ht="15.75" hidden="1" customHeight="1" outlineLevel="2">
      <c r="A73" s="560"/>
      <c r="B73" s="364" t="s">
        <v>78</v>
      </c>
      <c r="C73" s="169"/>
      <c r="D73" s="372" t="s">
        <v>79</v>
      </c>
      <c r="E73" s="369">
        <f t="shared" si="735"/>
        <v>1</v>
      </c>
      <c r="F73" s="373">
        <f t="shared" ca="1" si="736"/>
        <v>-3</v>
      </c>
      <c r="G73" s="589">
        <f>AAG73</f>
        <v>41379</v>
      </c>
      <c r="H73" s="370">
        <f t="shared" si="737"/>
        <v>41379</v>
      </c>
      <c r="I73" s="629"/>
      <c r="J73" s="594"/>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90"/>
      <c r="AAD73" s="113"/>
      <c r="AAE73" s="554">
        <f t="shared" si="734"/>
        <v>0</v>
      </c>
      <c r="AAF73" s="585"/>
      <c r="AAG73" s="78">
        <f>G72</f>
        <v>41379</v>
      </c>
      <c r="AAH73" s="78">
        <f t="shared" ref="AAH73:AAH77" si="738">G73</f>
        <v>41379</v>
      </c>
      <c r="AAI73" s="77"/>
      <c r="AAJ73" s="56"/>
      <c r="AAK73" s="56"/>
      <c r="AAL73" s="40"/>
      <c r="AAM73" s="113"/>
      <c r="AAN73"/>
      <c r="AAT73" s="23"/>
      <c r="AAU73" s="44"/>
    </row>
    <row r="74" spans="1:732" ht="15.75" hidden="1" customHeight="1" outlineLevel="2">
      <c r="A74" s="560"/>
      <c r="B74" s="365" t="s">
        <v>78</v>
      </c>
      <c r="C74" s="169"/>
      <c r="D74" s="372" t="s">
        <v>79</v>
      </c>
      <c r="E74" s="369">
        <f t="shared" si="735"/>
        <v>1</v>
      </c>
      <c r="F74" s="373">
        <f t="shared" ca="1" si="736"/>
        <v>-3</v>
      </c>
      <c r="G74" s="589">
        <f t="shared" ref="G74:G77" si="739">AAG74</f>
        <v>41379</v>
      </c>
      <c r="H74" s="370">
        <f t="shared" si="737"/>
        <v>41379</v>
      </c>
      <c r="I74" s="629"/>
      <c r="J74" s="594"/>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90"/>
      <c r="AAD74" s="113"/>
      <c r="AAE74" s="554">
        <f t="shared" si="734"/>
        <v>0</v>
      </c>
      <c r="AAF74" s="585"/>
      <c r="AAG74" s="78">
        <f>G73</f>
        <v>41379</v>
      </c>
      <c r="AAH74" s="78">
        <f t="shared" si="738"/>
        <v>41379</v>
      </c>
      <c r="AAI74" s="77"/>
      <c r="AAJ74" s="56"/>
      <c r="AAK74" s="56"/>
      <c r="AAL74" s="40"/>
      <c r="AAM74" s="113"/>
      <c r="AAN74"/>
      <c r="AAT74" s="23"/>
      <c r="AAU74" s="44"/>
    </row>
    <row r="75" spans="1:732" ht="15.75" hidden="1" customHeight="1" outlineLevel="2">
      <c r="A75" s="560"/>
      <c r="B75" s="365" t="s">
        <v>78</v>
      </c>
      <c r="C75" s="169"/>
      <c r="D75" s="372" t="s">
        <v>79</v>
      </c>
      <c r="E75" s="369">
        <f t="shared" si="735"/>
        <v>1</v>
      </c>
      <c r="F75" s="373">
        <f t="shared" ca="1" si="736"/>
        <v>-3</v>
      </c>
      <c r="G75" s="589">
        <f t="shared" si="739"/>
        <v>41379</v>
      </c>
      <c r="H75" s="370">
        <f t="shared" si="737"/>
        <v>41379</v>
      </c>
      <c r="I75" s="629"/>
      <c r="J75" s="594"/>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90"/>
      <c r="AAD75" s="113"/>
      <c r="AAE75" s="554">
        <f t="shared" si="734"/>
        <v>0</v>
      </c>
      <c r="AAF75" s="585"/>
      <c r="AAG75" s="78">
        <f t="shared" ref="AAG75:AAG77" si="740">G74</f>
        <v>41379</v>
      </c>
      <c r="AAH75" s="78">
        <f t="shared" si="738"/>
        <v>41379</v>
      </c>
      <c r="AAI75" s="77"/>
      <c r="AAJ75" s="56"/>
      <c r="AAK75" s="56"/>
      <c r="AAL75" s="40"/>
      <c r="AAM75" s="113"/>
      <c r="AAN75"/>
      <c r="AAT75" s="23"/>
      <c r="AAU75" s="44"/>
    </row>
    <row r="76" spans="1:732" ht="15.75" hidden="1" customHeight="1" outlineLevel="2">
      <c r="A76" s="560"/>
      <c r="B76" s="365" t="s">
        <v>78</v>
      </c>
      <c r="C76" s="169"/>
      <c r="D76" s="372" t="s">
        <v>79</v>
      </c>
      <c r="E76" s="369">
        <f t="shared" si="735"/>
        <v>1</v>
      </c>
      <c r="F76" s="373">
        <f t="shared" ca="1" si="736"/>
        <v>-3</v>
      </c>
      <c r="G76" s="589">
        <f t="shared" si="739"/>
        <v>41379</v>
      </c>
      <c r="H76" s="370">
        <f t="shared" si="737"/>
        <v>41379</v>
      </c>
      <c r="I76" s="629"/>
      <c r="J76" s="594"/>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90"/>
      <c r="AAD76" s="113"/>
      <c r="AAE76" s="554">
        <f t="shared" si="734"/>
        <v>0</v>
      </c>
      <c r="AAF76" s="585"/>
      <c r="AAG76" s="78">
        <f t="shared" si="740"/>
        <v>41379</v>
      </c>
      <c r="AAH76" s="78">
        <f t="shared" si="738"/>
        <v>41379</v>
      </c>
      <c r="AAI76" s="77"/>
      <c r="AAJ76" s="56"/>
      <c r="AAK76" s="56"/>
      <c r="AAL76" s="40"/>
      <c r="AAM76" s="113"/>
      <c r="AAN76"/>
      <c r="AAT76" s="23"/>
      <c r="AAU76" s="44"/>
    </row>
    <row r="77" spans="1:732" ht="15.75" hidden="1" customHeight="1" outlineLevel="2">
      <c r="A77" s="560"/>
      <c r="B77" s="363" t="s">
        <v>15</v>
      </c>
      <c r="C77" s="169"/>
      <c r="D77" s="372" t="s">
        <v>79</v>
      </c>
      <c r="E77" s="369">
        <f t="shared" si="735"/>
        <v>1</v>
      </c>
      <c r="F77" s="373">
        <f t="shared" ca="1" si="736"/>
        <v>-3</v>
      </c>
      <c r="G77" s="589">
        <f t="shared" si="739"/>
        <v>41379</v>
      </c>
      <c r="H77" s="370">
        <f t="shared" si="737"/>
        <v>41379</v>
      </c>
      <c r="I77" s="629"/>
      <c r="J77" s="594"/>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90"/>
      <c r="AAD77" s="113"/>
      <c r="AAE77" s="554">
        <f t="shared" si="734"/>
        <v>0</v>
      </c>
      <c r="AAF77" s="585"/>
      <c r="AAG77" s="78">
        <f t="shared" si="740"/>
        <v>41379</v>
      </c>
      <c r="AAH77" s="78">
        <f t="shared" si="738"/>
        <v>41379</v>
      </c>
      <c r="AAI77" s="77"/>
      <c r="AAJ77" s="56"/>
      <c r="AAK77" s="56"/>
      <c r="AAL77" s="40"/>
      <c r="AAM77" s="113"/>
      <c r="AAN77"/>
      <c r="AAT77" s="23"/>
      <c r="AAU77" s="44"/>
    </row>
    <row r="78" spans="1:732" ht="15.75" hidden="1" customHeight="1" outlineLevel="1" collapsed="1">
      <c r="A78" s="560"/>
      <c r="B78" s="363" t="s">
        <v>296</v>
      </c>
      <c r="C78" s="169"/>
      <c r="D78" s="372" t="s">
        <v>79</v>
      </c>
      <c r="E78" s="369">
        <f t="shared" si="735"/>
        <v>1</v>
      </c>
      <c r="F78" s="373">
        <f t="shared" ca="1" si="736"/>
        <v>55</v>
      </c>
      <c r="G78" s="538">
        <f>AAG78</f>
        <v>41457</v>
      </c>
      <c r="H78" s="539">
        <f>AAH78</f>
        <v>41457</v>
      </c>
      <c r="I78" s="629"/>
      <c r="J78" s="594"/>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90"/>
      <c r="AAD78" s="113"/>
      <c r="AAE78" s="554">
        <f t="shared" si="734"/>
        <v>0</v>
      </c>
      <c r="AAF78" s="585"/>
      <c r="AAG78" s="78">
        <f>S.SubmitNoticeToEPA</f>
        <v>41457</v>
      </c>
      <c r="AAH78" s="78">
        <f>S.SubmitNoticeToEPA</f>
        <v>41457</v>
      </c>
      <c r="AAI78" s="77"/>
      <c r="AAJ78" s="56"/>
      <c r="AAK78" s="56"/>
      <c r="AAL78" s="40"/>
      <c r="AAM78" s="113"/>
      <c r="AAN78"/>
      <c r="AAT78" s="23"/>
      <c r="AAU78" s="44"/>
    </row>
    <row r="79" spans="1:732" ht="6" customHeight="1" collapsed="1">
      <c r="A79" s="560"/>
      <c r="B79" s="366"/>
      <c r="C79" s="710"/>
      <c r="D79" s="165"/>
      <c r="E79" s="166"/>
      <c r="F79" s="166"/>
      <c r="G79" s="165"/>
      <c r="H79" s="165"/>
      <c r="I79" s="590"/>
      <c r="J79" s="635"/>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20"/>
      <c r="ZZ79" s="36"/>
      <c r="AAA79" s="590"/>
      <c r="AAD79" s="113"/>
      <c r="AAE79" s="553" t="s">
        <v>28</v>
      </c>
      <c r="AAF79" s="585" t="s">
        <v>199</v>
      </c>
      <c r="AAG79" s="76"/>
      <c r="AAH79" s="76"/>
      <c r="AAI79" s="77"/>
      <c r="AAJ79" s="56"/>
      <c r="AAK79" s="56"/>
      <c r="AAL79" s="40"/>
      <c r="AAM79" s="113"/>
      <c r="AAN79"/>
      <c r="AAT79" s="23"/>
      <c r="AAU79" s="44"/>
    </row>
    <row r="80" spans="1:732" s="23" customFormat="1" ht="18" customHeight="1">
      <c r="A80" s="560"/>
      <c r="B80" s="780" t="str">
        <f>AAL19</f>
        <v>2-Advisory Committee</v>
      </c>
      <c r="C80" s="780"/>
      <c r="D80" s="780"/>
      <c r="E80" s="780"/>
      <c r="F80" s="780"/>
      <c r="G80" s="780"/>
      <c r="H80" s="150" t="s">
        <v>0</v>
      </c>
      <c r="I80" s="629"/>
      <c r="J80" s="634"/>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21"/>
      <c r="ZZ80" s="120"/>
      <c r="AAA80" s="590"/>
      <c r="AAB80"/>
      <c r="AAC80"/>
      <c r="AAD80" s="113"/>
      <c r="AAE80" s="553" t="s">
        <v>29</v>
      </c>
      <c r="AAF80" s="585" t="s">
        <v>199</v>
      </c>
      <c r="AAG80" s="113"/>
      <c r="AAH80" s="113"/>
      <c r="AAI80" s="77"/>
      <c r="AAJ80" s="90"/>
      <c r="AAK80" s="90"/>
      <c r="AAL80" s="76"/>
      <c r="AAM80" s="113"/>
      <c r="AAU80" s="44"/>
    </row>
    <row r="81" spans="1:732" s="23" customFormat="1" ht="18" customHeight="1">
      <c r="A81" s="560"/>
      <c r="B81" s="235" t="s">
        <v>15</v>
      </c>
      <c r="C81" s="711"/>
      <c r="D81" s="151" t="s">
        <v>272</v>
      </c>
      <c r="E81" s="152" t="s">
        <v>15</v>
      </c>
      <c r="F81" s="236" t="s">
        <v>2</v>
      </c>
      <c r="G81" s="153" t="s">
        <v>279</v>
      </c>
      <c r="H81" s="153" t="s">
        <v>91</v>
      </c>
      <c r="I81" s="629"/>
      <c r="J81" s="595"/>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21"/>
      <c r="ZZ81" s="120"/>
      <c r="AAA81" s="590"/>
      <c r="AAB81"/>
      <c r="AAC81"/>
      <c r="AAD81" s="113"/>
      <c r="AAE81" s="553" t="s">
        <v>276</v>
      </c>
      <c r="AAF81" s="585" t="s">
        <v>199</v>
      </c>
      <c r="AAG81" s="113"/>
      <c r="AAH81" s="113"/>
      <c r="AAI81" s="77"/>
      <c r="AAJ81" s="90"/>
      <c r="AAK81" s="90"/>
      <c r="AAL81" s="76"/>
      <c r="AAM81" s="113"/>
      <c r="AAU81" s="44"/>
    </row>
    <row r="82" spans="1:732" ht="18" customHeight="1">
      <c r="A82" s="560"/>
      <c r="B82" s="23" t="s">
        <v>0</v>
      </c>
      <c r="C82" s="712"/>
      <c r="D82" s="237" t="s">
        <v>0</v>
      </c>
      <c r="E82" s="237"/>
      <c r="F82" s="374">
        <f>NETWORKDAYS(G82,S.BANNER.AdvisoryCommitteeEnd,S.DDL_DEQClosed)</f>
        <v>116</v>
      </c>
      <c r="G82" s="238">
        <f>S.BANNER.AdvisoryCommitteeStart</f>
        <v>41414</v>
      </c>
      <c r="H82" s="238">
        <f>S.BANNER.AdvisoryCommitteeEnd</f>
        <v>41579</v>
      </c>
      <c r="I82" s="629"/>
      <c r="J82" s="631"/>
      <c r="K82" s="637"/>
      <c r="L82" s="637"/>
      <c r="M82" s="637"/>
      <c r="N82" s="637"/>
      <c r="O82" s="637"/>
      <c r="P82" s="637"/>
      <c r="Q82" s="637"/>
      <c r="R82" s="637"/>
      <c r="S82" s="637"/>
      <c r="T82" s="637"/>
      <c r="U82" s="637"/>
      <c r="V82" s="637"/>
      <c r="W82" s="637"/>
      <c r="X82" s="637"/>
      <c r="Y82" s="637"/>
      <c r="Z82" s="637"/>
      <c r="AA82" s="637"/>
      <c r="AB82" s="637"/>
      <c r="AC82" s="637"/>
      <c r="AD82" s="637"/>
      <c r="AE82" s="637"/>
      <c r="AF82" s="637"/>
      <c r="AG82" s="637"/>
      <c r="AH82" s="637"/>
      <c r="AI82" s="637"/>
      <c r="AJ82" s="637"/>
      <c r="AK82" s="637"/>
      <c r="AL82" s="637"/>
      <c r="AM82" s="637"/>
      <c r="AN82" s="637"/>
      <c r="AO82" s="637"/>
      <c r="AP82" s="637"/>
      <c r="AQ82" s="637"/>
      <c r="AR82" s="637"/>
      <c r="AS82" s="637"/>
      <c r="AT82" s="637"/>
      <c r="AU82" s="637"/>
      <c r="AV82" s="637"/>
      <c r="AW82" s="637"/>
      <c r="AX82" s="637"/>
      <c r="AY82" s="637"/>
      <c r="AZ82" s="637"/>
      <c r="BA82" s="637"/>
      <c r="BB82" s="637"/>
      <c r="BC82" s="637"/>
      <c r="BD82" s="637"/>
      <c r="BE82" s="637"/>
      <c r="BF82" s="637"/>
      <c r="BG82" s="637"/>
      <c r="BH82" s="637"/>
      <c r="BI82" s="637"/>
      <c r="BJ82" s="637"/>
      <c r="BK82" s="637"/>
      <c r="BL82" s="637"/>
      <c r="BM82" s="637"/>
      <c r="BN82" s="637"/>
      <c r="BO82" s="637"/>
      <c r="BP82" s="637"/>
      <c r="BQ82" s="637"/>
      <c r="BR82" s="637"/>
      <c r="BS82" s="637"/>
      <c r="BT82" s="637"/>
      <c r="BU82" s="637"/>
      <c r="BV82" s="637"/>
      <c r="BW82" s="637"/>
      <c r="BX82" s="637"/>
      <c r="BY82" s="637"/>
      <c r="BZ82" s="637"/>
      <c r="CA82" s="637"/>
      <c r="CB82" s="637"/>
      <c r="CC82" s="637"/>
      <c r="CD82" s="637"/>
      <c r="CE82" s="637"/>
      <c r="CF82" s="637"/>
      <c r="CG82" s="637"/>
      <c r="CH82" s="637"/>
      <c r="CI82" s="637"/>
      <c r="CJ82" s="637"/>
      <c r="CK82" s="637"/>
      <c r="CL82" s="637"/>
      <c r="CM82" s="637"/>
      <c r="CN82" s="637"/>
      <c r="CO82" s="637"/>
      <c r="CP82" s="637"/>
      <c r="CQ82" s="637"/>
      <c r="CR82" s="637"/>
      <c r="CS82" s="637"/>
      <c r="CT82" s="637"/>
      <c r="CU82" s="637"/>
      <c r="CV82" s="637"/>
      <c r="CW82" s="637"/>
      <c r="CX82" s="637"/>
      <c r="CY82" s="637"/>
      <c r="CZ82" s="637"/>
      <c r="DA82" s="637"/>
      <c r="DB82" s="637"/>
      <c r="DC82" s="637"/>
      <c r="DD82" s="637"/>
      <c r="DE82" s="637"/>
      <c r="DF82" s="637"/>
      <c r="DG82" s="637"/>
      <c r="DH82" s="637"/>
      <c r="DI82" s="637"/>
      <c r="DJ82" s="637"/>
      <c r="DK82" s="637"/>
      <c r="DL82" s="637"/>
      <c r="DM82" s="637"/>
      <c r="DN82" s="637"/>
      <c r="DO82" s="637"/>
      <c r="DP82" s="637"/>
      <c r="DQ82" s="637"/>
      <c r="DR82" s="637"/>
      <c r="DS82" s="637"/>
      <c r="DT82" s="637"/>
      <c r="DU82" s="637"/>
      <c r="DV82" s="637"/>
      <c r="DW82" s="637"/>
      <c r="DX82" s="637"/>
      <c r="DY82" s="637"/>
      <c r="DZ82" s="637"/>
      <c r="EA82" s="637"/>
      <c r="EB82" s="637"/>
      <c r="EC82" s="637"/>
      <c r="ED82" s="637"/>
      <c r="EE82" s="637"/>
      <c r="EF82" s="637"/>
      <c r="EG82" s="637"/>
      <c r="EH82" s="637"/>
      <c r="EI82" s="637"/>
      <c r="EJ82" s="637"/>
      <c r="EK82" s="637"/>
      <c r="EL82" s="637"/>
      <c r="EM82" s="637"/>
      <c r="EN82" s="637"/>
      <c r="EO82" s="637"/>
      <c r="EP82" s="637"/>
      <c r="EQ82" s="637"/>
      <c r="ER82" s="637"/>
      <c r="ES82" s="637"/>
      <c r="ET82" s="637"/>
      <c r="EU82" s="637"/>
      <c r="EV82" s="637"/>
      <c r="EW82" s="637"/>
      <c r="EX82" s="637"/>
      <c r="EY82" s="637"/>
      <c r="EZ82" s="637"/>
      <c r="FA82" s="637"/>
      <c r="FB82" s="637"/>
      <c r="FC82" s="637"/>
      <c r="FD82" s="637"/>
      <c r="FE82" s="637"/>
      <c r="FF82" s="637"/>
      <c r="FG82" s="637"/>
      <c r="FH82" s="637"/>
      <c r="FI82" s="637"/>
      <c r="FJ82" s="637"/>
      <c r="FK82" s="637"/>
      <c r="FL82" s="637"/>
      <c r="FM82" s="637"/>
      <c r="FN82" s="637"/>
      <c r="FO82" s="637"/>
      <c r="FP82" s="637"/>
      <c r="FQ82" s="637"/>
      <c r="FR82" s="637"/>
      <c r="FS82" s="637"/>
      <c r="FT82" s="637"/>
      <c r="FU82" s="637"/>
      <c r="FV82" s="637"/>
      <c r="FW82" s="637"/>
      <c r="FX82" s="637"/>
      <c r="FY82" s="637"/>
      <c r="FZ82" s="637"/>
      <c r="GA82" s="637"/>
      <c r="GB82" s="637"/>
      <c r="GC82" s="637"/>
      <c r="GD82" s="637"/>
      <c r="GE82" s="637"/>
      <c r="GF82" s="637"/>
      <c r="GG82" s="637"/>
      <c r="GH82" s="637"/>
      <c r="GI82" s="637"/>
      <c r="GJ82" s="637"/>
      <c r="GK82" s="637"/>
      <c r="GL82" s="637"/>
      <c r="GM82" s="637"/>
      <c r="GN82" s="637"/>
      <c r="GO82" s="637"/>
      <c r="GP82" s="637"/>
      <c r="GQ82" s="637"/>
      <c r="GR82" s="637"/>
      <c r="GS82" s="637"/>
      <c r="GT82" s="637"/>
      <c r="GU82" s="637"/>
      <c r="GV82" s="637"/>
      <c r="GW82" s="637"/>
      <c r="GX82" s="637"/>
      <c r="GY82" s="637"/>
      <c r="GZ82" s="637"/>
      <c r="HA82" s="637"/>
      <c r="HB82" s="637"/>
      <c r="HC82" s="637"/>
      <c r="HD82" s="637"/>
      <c r="HE82" s="637"/>
      <c r="HF82" s="637"/>
      <c r="HG82" s="637"/>
      <c r="HH82" s="637"/>
      <c r="HI82" s="637"/>
      <c r="HJ82" s="637"/>
      <c r="HK82" s="637"/>
      <c r="HL82" s="637"/>
      <c r="HM82" s="637"/>
      <c r="HN82" s="637"/>
      <c r="HO82" s="637"/>
      <c r="HP82" s="637"/>
      <c r="HQ82" s="637"/>
      <c r="HR82" s="637"/>
      <c r="HS82" s="637"/>
      <c r="HT82" s="637"/>
      <c r="HU82" s="637"/>
      <c r="HV82" s="637"/>
      <c r="HW82" s="637"/>
      <c r="HX82" s="637"/>
      <c r="HY82" s="637"/>
      <c r="HZ82" s="637"/>
      <c r="IA82" s="637"/>
      <c r="IB82" s="637"/>
      <c r="IC82" s="637"/>
      <c r="ID82" s="637"/>
      <c r="IE82" s="637"/>
      <c r="IF82" s="637"/>
      <c r="IG82" s="637"/>
      <c r="IH82" s="637"/>
      <c r="II82" s="637"/>
      <c r="IJ82" s="637"/>
      <c r="IK82" s="637"/>
      <c r="IL82" s="637"/>
      <c r="IM82" s="637"/>
      <c r="IN82" s="637"/>
      <c r="IO82" s="637"/>
      <c r="IP82" s="637"/>
      <c r="IQ82" s="637"/>
      <c r="IR82" s="637"/>
      <c r="IS82" s="637"/>
      <c r="IT82" s="637"/>
      <c r="IU82" s="637"/>
      <c r="IV82" s="637"/>
      <c r="IW82" s="637"/>
      <c r="IX82" s="637"/>
      <c r="IY82" s="637"/>
      <c r="IZ82" s="637"/>
      <c r="JA82" s="637"/>
      <c r="JB82" s="637"/>
      <c r="JC82" s="637"/>
      <c r="JD82" s="637"/>
      <c r="JE82" s="637"/>
      <c r="JF82" s="637"/>
      <c r="JG82" s="637"/>
      <c r="JH82" s="637"/>
      <c r="JI82" s="637"/>
      <c r="JJ82" s="637"/>
      <c r="JK82" s="637"/>
      <c r="JL82" s="637"/>
      <c r="JM82" s="637"/>
      <c r="JN82" s="637"/>
      <c r="JO82" s="637"/>
      <c r="JP82" s="637"/>
      <c r="JQ82" s="637"/>
      <c r="JR82" s="637"/>
      <c r="JS82" s="637"/>
      <c r="JT82" s="637"/>
      <c r="JU82" s="637"/>
      <c r="JV82" s="637"/>
      <c r="JW82" s="637"/>
      <c r="JX82" s="637"/>
      <c r="JY82" s="637"/>
      <c r="JZ82" s="637"/>
      <c r="KA82" s="637"/>
      <c r="KB82" s="637"/>
      <c r="KC82" s="637"/>
      <c r="KD82" s="637"/>
      <c r="KE82" s="637"/>
      <c r="KF82" s="637"/>
      <c r="KG82" s="637"/>
      <c r="KH82" s="637"/>
      <c r="KI82" s="637"/>
      <c r="KJ82" s="637"/>
      <c r="KK82" s="637"/>
      <c r="KL82" s="637"/>
      <c r="KM82" s="637"/>
      <c r="KN82" s="637"/>
      <c r="KO82" s="637"/>
      <c r="KP82" s="637"/>
      <c r="KQ82" s="637"/>
      <c r="KR82" s="637"/>
      <c r="KS82" s="637"/>
      <c r="KT82" s="637"/>
      <c r="KU82" s="637"/>
      <c r="KV82" s="637"/>
      <c r="KW82" s="637"/>
      <c r="KX82" s="637"/>
      <c r="KY82" s="637"/>
      <c r="KZ82" s="637"/>
      <c r="LA82" s="637"/>
      <c r="LB82" s="637"/>
      <c r="LC82" s="637"/>
      <c r="LD82" s="637"/>
      <c r="LE82" s="637"/>
      <c r="LF82" s="637"/>
      <c r="LG82" s="637"/>
      <c r="LH82" s="637"/>
      <c r="LI82" s="637"/>
      <c r="LJ82" s="637"/>
      <c r="LK82" s="637"/>
      <c r="LL82" s="637"/>
      <c r="LM82" s="637"/>
      <c r="LN82" s="637"/>
      <c r="LO82" s="637"/>
      <c r="LP82" s="637"/>
      <c r="LQ82" s="637"/>
      <c r="LR82" s="637"/>
      <c r="LS82" s="637"/>
      <c r="LT82" s="637"/>
      <c r="LU82" s="637"/>
      <c r="LV82" s="637"/>
      <c r="LW82" s="637"/>
      <c r="LX82" s="637"/>
      <c r="LY82" s="637"/>
      <c r="LZ82" s="637"/>
      <c r="MA82" s="637"/>
      <c r="MB82" s="637"/>
      <c r="MC82" s="637"/>
      <c r="MD82" s="637"/>
      <c r="ME82" s="637"/>
      <c r="MF82" s="637"/>
      <c r="MG82" s="637"/>
      <c r="MH82" s="637"/>
      <c r="MI82" s="637"/>
      <c r="MJ82" s="637"/>
      <c r="MK82" s="637"/>
      <c r="ML82" s="637"/>
      <c r="MM82" s="637"/>
      <c r="MN82" s="637"/>
      <c r="MO82" s="637"/>
      <c r="MP82" s="637"/>
      <c r="MQ82" s="637"/>
      <c r="MR82" s="637"/>
      <c r="MS82" s="637"/>
      <c r="MT82" s="637"/>
      <c r="MU82" s="637"/>
      <c r="MV82" s="637"/>
      <c r="MW82" s="637"/>
      <c r="MX82" s="637"/>
      <c r="MY82" s="637"/>
      <c r="MZ82" s="637"/>
      <c r="NA82" s="637"/>
      <c r="NB82" s="637"/>
      <c r="NC82" s="637"/>
      <c r="ND82" s="637"/>
      <c r="NE82" s="637"/>
      <c r="NF82" s="637"/>
      <c r="NG82" s="637"/>
      <c r="NH82" s="637"/>
      <c r="NI82" s="637"/>
      <c r="NJ82" s="637"/>
      <c r="NK82" s="637"/>
      <c r="NL82" s="637"/>
      <c r="NM82" s="637"/>
      <c r="NN82" s="637"/>
      <c r="NO82" s="637"/>
      <c r="NP82" s="637"/>
      <c r="NQ82" s="637"/>
      <c r="NR82" s="637"/>
      <c r="NS82" s="637"/>
      <c r="NT82" s="637"/>
      <c r="NU82" s="637"/>
      <c r="NV82" s="637"/>
      <c r="NW82" s="637"/>
      <c r="NX82" s="637"/>
      <c r="NY82" s="637"/>
      <c r="NZ82" s="637"/>
      <c r="OA82" s="637"/>
      <c r="OB82" s="637"/>
      <c r="OC82" s="637"/>
      <c r="OD82" s="637"/>
      <c r="OE82" s="637"/>
      <c r="OF82" s="637"/>
      <c r="OG82" s="637"/>
      <c r="OH82" s="637"/>
      <c r="OI82" s="637"/>
      <c r="OJ82" s="637"/>
      <c r="OK82" s="637"/>
      <c r="OL82" s="637"/>
      <c r="OM82" s="637"/>
      <c r="ON82" s="637"/>
      <c r="OO82" s="637"/>
      <c r="OP82" s="637"/>
      <c r="OQ82" s="637"/>
      <c r="OR82" s="637"/>
      <c r="OS82" s="637"/>
      <c r="OT82" s="637"/>
      <c r="OU82" s="637"/>
      <c r="OV82" s="637"/>
      <c r="OW82" s="637"/>
      <c r="OX82" s="637"/>
      <c r="OY82" s="637"/>
      <c r="OZ82" s="637"/>
      <c r="PA82" s="637"/>
      <c r="PB82" s="637"/>
      <c r="PC82" s="637"/>
      <c r="PD82" s="637"/>
      <c r="PE82" s="637"/>
      <c r="PF82" s="637"/>
      <c r="PG82" s="637"/>
      <c r="PH82" s="637"/>
      <c r="PI82" s="637"/>
      <c r="PJ82" s="637"/>
      <c r="PK82" s="637"/>
      <c r="PL82" s="637"/>
      <c r="PM82" s="637"/>
      <c r="PN82" s="637"/>
      <c r="PO82" s="637"/>
      <c r="PP82" s="637"/>
      <c r="PQ82" s="637"/>
      <c r="PR82" s="637"/>
      <c r="PS82" s="637"/>
      <c r="PT82" s="637"/>
      <c r="PU82" s="637"/>
      <c r="PV82" s="637"/>
      <c r="PW82" s="637"/>
      <c r="PX82" s="637"/>
      <c r="PY82" s="637"/>
      <c r="PZ82" s="637"/>
      <c r="QA82" s="637"/>
      <c r="QB82" s="637"/>
      <c r="QC82" s="637"/>
      <c r="QD82" s="637"/>
      <c r="QE82" s="637"/>
      <c r="QF82" s="637"/>
      <c r="QG82" s="637"/>
      <c r="QH82" s="637"/>
      <c r="QI82" s="637"/>
      <c r="QJ82" s="637"/>
      <c r="QK82" s="637"/>
      <c r="QL82" s="637"/>
      <c r="QM82" s="637"/>
      <c r="QN82" s="637"/>
      <c r="QO82" s="637"/>
      <c r="QP82" s="637"/>
      <c r="QQ82" s="637"/>
      <c r="QR82" s="637"/>
      <c r="QS82" s="637"/>
      <c r="QT82" s="637"/>
      <c r="QU82" s="637"/>
      <c r="QV82" s="637"/>
      <c r="QW82" s="637"/>
      <c r="QX82" s="637"/>
      <c r="QY82" s="637"/>
      <c r="QZ82" s="637"/>
      <c r="RA82" s="637"/>
      <c r="RB82" s="637"/>
      <c r="RC82" s="637"/>
      <c r="RD82" s="637"/>
      <c r="RE82" s="637"/>
      <c r="RF82" s="637"/>
      <c r="RG82" s="637"/>
      <c r="RH82" s="637"/>
      <c r="RI82" s="637"/>
      <c r="RJ82" s="637"/>
      <c r="RK82" s="637"/>
      <c r="RL82" s="637"/>
      <c r="RM82" s="637"/>
      <c r="RN82" s="637"/>
      <c r="RO82" s="637"/>
      <c r="RP82" s="637"/>
      <c r="RQ82" s="637"/>
      <c r="RR82" s="637"/>
      <c r="RS82" s="637"/>
      <c r="RT82" s="637"/>
      <c r="RU82" s="637"/>
      <c r="RV82" s="637"/>
      <c r="RW82" s="637"/>
      <c r="RX82" s="637"/>
      <c r="RY82" s="637"/>
      <c r="RZ82" s="637"/>
      <c r="SA82" s="637"/>
      <c r="SB82" s="637"/>
      <c r="SC82" s="637"/>
      <c r="SD82" s="637"/>
      <c r="SE82" s="637"/>
      <c r="SF82" s="637"/>
      <c r="SG82" s="637"/>
      <c r="SH82" s="637"/>
      <c r="SI82" s="637"/>
      <c r="SJ82" s="637"/>
      <c r="SK82" s="637"/>
      <c r="SL82" s="637"/>
      <c r="SM82" s="637"/>
      <c r="SN82" s="637"/>
      <c r="SO82" s="637"/>
      <c r="SP82" s="637"/>
      <c r="SQ82" s="637"/>
      <c r="SR82" s="637"/>
      <c r="SS82" s="637"/>
      <c r="ST82" s="637"/>
      <c r="SU82" s="637"/>
      <c r="SV82" s="637"/>
      <c r="SW82" s="637"/>
      <c r="SX82" s="637"/>
      <c r="SY82" s="637"/>
      <c r="SZ82" s="637"/>
      <c r="TA82" s="637"/>
      <c r="TB82" s="637"/>
      <c r="TC82" s="637"/>
      <c r="TD82" s="637"/>
      <c r="TE82" s="637"/>
      <c r="TF82" s="637"/>
      <c r="TG82" s="637"/>
      <c r="TH82" s="637"/>
      <c r="TI82" s="637"/>
      <c r="TJ82" s="637"/>
      <c r="TK82" s="637"/>
      <c r="TL82" s="637"/>
      <c r="TM82" s="637"/>
      <c r="TN82" s="637"/>
      <c r="TO82" s="637"/>
      <c r="TP82" s="637"/>
      <c r="TQ82" s="637"/>
      <c r="TR82" s="637"/>
      <c r="TS82" s="637"/>
      <c r="TT82" s="637"/>
      <c r="TU82" s="637"/>
      <c r="TV82" s="637"/>
      <c r="TW82" s="637"/>
      <c r="TX82" s="637"/>
      <c r="TY82" s="637"/>
      <c r="TZ82" s="637"/>
      <c r="UA82" s="637"/>
      <c r="UB82" s="637"/>
      <c r="UC82" s="637"/>
      <c r="UD82" s="637"/>
      <c r="UE82" s="637"/>
      <c r="UF82" s="637"/>
      <c r="UG82" s="637"/>
      <c r="UH82" s="637"/>
      <c r="UI82" s="637"/>
      <c r="UJ82" s="637"/>
      <c r="UK82" s="637"/>
      <c r="UL82" s="637"/>
      <c r="UM82" s="637"/>
      <c r="UN82" s="637"/>
      <c r="UO82" s="637"/>
      <c r="UP82" s="637"/>
      <c r="UQ82" s="637"/>
      <c r="UR82" s="637"/>
      <c r="US82" s="637"/>
      <c r="UT82" s="637"/>
      <c r="UU82" s="637"/>
      <c r="UV82" s="637"/>
      <c r="UW82" s="637"/>
      <c r="UX82" s="637"/>
      <c r="UY82" s="637"/>
      <c r="UZ82" s="637"/>
      <c r="VA82" s="637"/>
      <c r="VB82" s="637"/>
      <c r="VC82" s="637"/>
      <c r="VD82" s="637"/>
      <c r="VE82" s="637"/>
      <c r="VF82" s="637"/>
      <c r="VG82" s="637"/>
      <c r="VH82" s="637"/>
      <c r="VI82" s="637"/>
      <c r="VJ82" s="637"/>
      <c r="VK82" s="637"/>
      <c r="VL82" s="637"/>
      <c r="VM82" s="637"/>
      <c r="VN82" s="637"/>
      <c r="VO82" s="637"/>
      <c r="VP82" s="637"/>
      <c r="VQ82" s="637"/>
      <c r="VR82" s="637"/>
      <c r="VS82" s="637"/>
      <c r="VT82" s="637"/>
      <c r="VU82" s="637"/>
      <c r="VV82" s="637"/>
      <c r="VW82" s="637"/>
      <c r="VX82" s="637"/>
      <c r="VY82" s="637"/>
      <c r="VZ82" s="637"/>
      <c r="WA82" s="637"/>
      <c r="WB82" s="637"/>
      <c r="WC82" s="637"/>
      <c r="WD82" s="637"/>
      <c r="WE82" s="637"/>
      <c r="WF82" s="637"/>
      <c r="WG82" s="637"/>
      <c r="WH82" s="637"/>
      <c r="WI82" s="637"/>
      <c r="WJ82" s="637"/>
      <c r="WK82" s="637"/>
      <c r="WL82" s="637"/>
      <c r="WM82" s="637"/>
      <c r="WN82" s="637"/>
      <c r="WO82" s="637"/>
      <c r="WP82" s="637"/>
      <c r="WQ82" s="637"/>
      <c r="WR82" s="637"/>
      <c r="WS82" s="637"/>
      <c r="WT82" s="637"/>
      <c r="WU82" s="637"/>
      <c r="WV82" s="637"/>
      <c r="WW82" s="637"/>
      <c r="WX82" s="637"/>
      <c r="WY82" s="637"/>
      <c r="WZ82" s="637"/>
      <c r="XA82" s="637"/>
      <c r="XB82" s="637"/>
      <c r="XC82" s="637"/>
      <c r="XD82" s="637"/>
      <c r="XE82" s="637"/>
      <c r="XF82" s="637"/>
      <c r="XG82" s="637"/>
      <c r="XH82" s="637"/>
      <c r="XI82" s="637"/>
      <c r="XJ82" s="637"/>
      <c r="XK82" s="637"/>
      <c r="XL82" s="637"/>
      <c r="XM82" s="637"/>
      <c r="XN82" s="637"/>
      <c r="XO82" s="637"/>
      <c r="XP82" s="637"/>
      <c r="XQ82" s="637"/>
      <c r="XR82" s="637"/>
      <c r="XS82" s="637"/>
      <c r="XT82" s="637"/>
      <c r="XU82" s="637"/>
      <c r="XV82" s="637"/>
      <c r="XW82" s="637"/>
      <c r="XX82" s="637"/>
      <c r="XY82" s="637"/>
      <c r="XZ82" s="637"/>
      <c r="YA82" s="637"/>
      <c r="YB82" s="637"/>
      <c r="YC82" s="637"/>
      <c r="YD82" s="637"/>
      <c r="YE82" s="637"/>
      <c r="YF82" s="637"/>
      <c r="YG82" s="637"/>
      <c r="YH82" s="637"/>
      <c r="YI82" s="637"/>
      <c r="YJ82" s="637"/>
      <c r="YK82" s="637"/>
      <c r="YL82" s="637"/>
      <c r="YM82" s="637"/>
      <c r="YN82" s="637"/>
      <c r="YO82" s="637"/>
      <c r="YP82" s="637"/>
      <c r="YQ82" s="637"/>
      <c r="YR82" s="637"/>
      <c r="YS82" s="637"/>
      <c r="YT82" s="637"/>
      <c r="YU82" s="637"/>
      <c r="YV82" s="637"/>
      <c r="YW82" s="637"/>
      <c r="YX82" s="637"/>
      <c r="YY82" s="637"/>
      <c r="YZ82" s="637"/>
      <c r="ZA82" s="637"/>
      <c r="ZB82" s="637"/>
      <c r="ZC82" s="637"/>
      <c r="ZD82" s="637"/>
      <c r="ZE82" s="637"/>
      <c r="ZF82" s="637"/>
      <c r="ZG82" s="637"/>
      <c r="ZH82" s="637"/>
      <c r="ZI82" s="637"/>
      <c r="ZJ82" s="637"/>
      <c r="ZK82" s="637"/>
      <c r="ZL82" s="637"/>
      <c r="ZM82" s="637"/>
      <c r="ZN82" s="637"/>
      <c r="ZO82" s="637"/>
      <c r="ZP82" s="637"/>
      <c r="ZQ82" s="637"/>
      <c r="ZR82" s="637"/>
      <c r="ZS82" s="637"/>
      <c r="ZT82" s="637"/>
      <c r="ZU82" s="637"/>
      <c r="ZV82" s="637"/>
      <c r="ZW82" s="637"/>
      <c r="ZX82" s="637"/>
      <c r="ZY82" s="640"/>
      <c r="ZZ82" s="120"/>
      <c r="AAA82" s="590"/>
      <c r="AAD82" s="113"/>
      <c r="AAE82" s="553" t="s">
        <v>276</v>
      </c>
      <c r="AAF82" s="585" t="s">
        <v>199</v>
      </c>
      <c r="AAG82" s="78">
        <f>S.BANNER.AdvisoryCommitteeStart</f>
        <v>41414</v>
      </c>
      <c r="AAH82" s="78">
        <f>S.BANNER.AdvisoryCommitteeEnd</f>
        <v>41579</v>
      </c>
      <c r="AAI82" s="63"/>
      <c r="AAJ82" s="79"/>
      <c r="AAK82" s="79"/>
      <c r="AAL82" s="77"/>
      <c r="AAM82" s="113"/>
      <c r="AAN82"/>
      <c r="AAT82" s="23"/>
      <c r="AAU82" s="44"/>
    </row>
    <row r="83" spans="1:732" ht="6" customHeight="1">
      <c r="A83" s="560"/>
      <c r="B83" s="207"/>
      <c r="C83" s="696"/>
      <c r="D83" s="181"/>
      <c r="E83" s="182"/>
      <c r="F83" s="182"/>
      <c r="G83" s="181"/>
      <c r="H83" s="181"/>
      <c r="I83" s="590"/>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90"/>
      <c r="AAD83" s="113"/>
      <c r="AAE83" s="554" t="s">
        <v>22</v>
      </c>
      <c r="AAF83" s="585" t="s">
        <v>199</v>
      </c>
      <c r="AAG83" s="63"/>
      <c r="AAH83" s="63"/>
      <c r="AAI83" s="63"/>
      <c r="AAJ83" s="56"/>
      <c r="AAK83" s="56"/>
      <c r="AAL83" s="40"/>
      <c r="AAM83" s="113"/>
      <c r="AAN83"/>
      <c r="AAT83" s="23"/>
      <c r="AAU83" s="44"/>
    </row>
    <row r="84" spans="1:732" s="23" customFormat="1" ht="15.75" customHeight="1" outlineLevel="1">
      <c r="A84" s="560"/>
      <c r="B84" s="376" t="s">
        <v>352</v>
      </c>
      <c r="C84" s="232" t="s">
        <v>73</v>
      </c>
      <c r="D84" s="387"/>
      <c r="E84" s="689"/>
      <c r="F84" s="690"/>
      <c r="G84" s="689"/>
      <c r="H84" s="689"/>
      <c r="I84" s="590"/>
      <c r="J84" s="47"/>
      <c r="K84" s="593"/>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9"/>
      <c r="ZZ84" s="624"/>
      <c r="AAA84" s="590"/>
      <c r="AAD84" s="113"/>
      <c r="AAE84" s="554">
        <f t="shared" ref="AAE84:AAE115" si="741">IF(S.InvolveCommittee=TRUE,1,0)</f>
        <v>1</v>
      </c>
      <c r="AAF84" s="585" t="s">
        <v>199</v>
      </c>
      <c r="AAG84" s="39"/>
      <c r="AAH84" s="39" t="s">
        <v>0</v>
      </c>
      <c r="AAI84" s="77"/>
      <c r="AAJ84" s="77"/>
      <c r="AAK84" s="77"/>
      <c r="AAL84" s="39"/>
      <c r="AAM84" s="113"/>
      <c r="AAU84" s="44"/>
    </row>
    <row r="85" spans="1:732" ht="15.75" customHeight="1" outlineLevel="1">
      <c r="A85" s="560"/>
      <c r="B85" s="376" t="s">
        <v>353</v>
      </c>
      <c r="C85" s="678" t="s">
        <v>73</v>
      </c>
      <c r="D85" s="309" t="s">
        <v>167</v>
      </c>
      <c r="E85" s="655">
        <f t="shared" ref="E85:E93" si="742">NETWORKDAYS(G85,H85,S.DDL_DEQClosed)</f>
        <v>1</v>
      </c>
      <c r="F85" s="656">
        <f t="shared" ref="F85:F93" ca="1" si="743">NETWORKDAYS(TODAY(),H85)</f>
        <v>24</v>
      </c>
      <c r="G85" s="657">
        <f t="shared" ref="G85:H125" si="744">AAG85</f>
        <v>41414</v>
      </c>
      <c r="H85" s="528">
        <f t="shared" si="744"/>
        <v>41414</v>
      </c>
      <c r="I85" s="590"/>
      <c r="J85" s="47"/>
      <c r="K85" s="593"/>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90"/>
      <c r="AAD85" s="113"/>
      <c r="AAE85" s="554">
        <f t="shared" si="741"/>
        <v>1</v>
      </c>
      <c r="AAF85" s="113" t="s">
        <v>0</v>
      </c>
      <c r="AAG85" s="78">
        <f>AAG82</f>
        <v>41414</v>
      </c>
      <c r="AAH85" s="78">
        <f>G85</f>
        <v>41414</v>
      </c>
      <c r="AAI85" s="77"/>
      <c r="AAJ85" s="77"/>
      <c r="AAK85" s="77"/>
      <c r="AAL85" s="89" t="str">
        <f>"Develop "&amp;S.CodeName&amp;"ROSTER"</f>
        <v>Develop ROSTER</v>
      </c>
      <c r="AAM85" s="113"/>
      <c r="AAN85"/>
      <c r="AAT85" s="23"/>
      <c r="AAU85" s="44"/>
    </row>
    <row r="86" spans="1:732" ht="15.75" customHeight="1" outlineLevel="1">
      <c r="A86" s="560"/>
      <c r="B86" s="375" t="str">
        <f>AAL85</f>
        <v>Develop ROSTER</v>
      </c>
      <c r="C86" s="677" t="s">
        <v>350</v>
      </c>
      <c r="D86" s="309" t="s">
        <v>167</v>
      </c>
      <c r="E86" s="369">
        <f t="shared" si="742"/>
        <v>1</v>
      </c>
      <c r="F86" s="494">
        <f t="shared" ca="1" si="743"/>
        <v>24</v>
      </c>
      <c r="G86" s="384">
        <f t="shared" si="744"/>
        <v>41414</v>
      </c>
      <c r="H86" s="370">
        <f t="shared" si="744"/>
        <v>41414</v>
      </c>
      <c r="I86" s="590"/>
      <c r="J86" s="47"/>
      <c r="K86" s="593"/>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90"/>
      <c r="AAD86" s="113"/>
      <c r="AAE86" s="554">
        <f t="shared" si="741"/>
        <v>1</v>
      </c>
      <c r="AAF86" s="113" t="s">
        <v>0</v>
      </c>
      <c r="AAG86" s="78">
        <f>H85</f>
        <v>41414</v>
      </c>
      <c r="AAH86" s="78">
        <f t="shared" ref="AAH86:AAH93" si="745">G86</f>
        <v>41414</v>
      </c>
      <c r="AAI86" s="77"/>
      <c r="AAJ86" s="77"/>
      <c r="AAK86" s="77"/>
      <c r="AAL86" s="56"/>
      <c r="AAM86" s="113"/>
      <c r="AAN86"/>
      <c r="AAT86" s="23"/>
      <c r="AAU86" s="44"/>
    </row>
    <row r="87" spans="1:732" ht="15.75" customHeight="1" outlineLevel="1">
      <c r="A87" s="560"/>
      <c r="B87" s="376" t="s">
        <v>69</v>
      </c>
      <c r="C87" s="169"/>
      <c r="D87" s="309" t="s">
        <v>176</v>
      </c>
      <c r="E87" s="369">
        <f t="shared" si="742"/>
        <v>1</v>
      </c>
      <c r="F87" s="494">
        <f t="shared" ca="1" si="743"/>
        <v>24</v>
      </c>
      <c r="G87" s="384">
        <f t="shared" si="744"/>
        <v>41414</v>
      </c>
      <c r="H87" s="370">
        <f t="shared" si="744"/>
        <v>41414</v>
      </c>
      <c r="I87" s="590"/>
      <c r="J87" s="47"/>
      <c r="K87" s="593"/>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90"/>
      <c r="AAD87" s="113"/>
      <c r="AAE87" s="554">
        <f t="shared" si="741"/>
        <v>1</v>
      </c>
      <c r="AAF87" s="113" t="s">
        <v>0</v>
      </c>
      <c r="AAG87" s="78">
        <f t="shared" ref="AAG87:AAG93" si="746">H86</f>
        <v>41414</v>
      </c>
      <c r="AAH87" s="78">
        <f t="shared" si="745"/>
        <v>41414</v>
      </c>
      <c r="AAI87" s="77"/>
      <c r="AAJ87" s="77"/>
      <c r="AAK87" s="77"/>
      <c r="AAL87" s="56"/>
      <c r="AAM87" s="113"/>
      <c r="AAN87"/>
      <c r="AAT87" s="23"/>
      <c r="AAU87" s="44"/>
    </row>
    <row r="88" spans="1:732" ht="15.75" customHeight="1" outlineLevel="1">
      <c r="A88" s="560"/>
      <c r="B88" s="688" t="str">
        <f>AAL88</f>
        <v>Draft optional COMMITTEE.CHARTER</v>
      </c>
      <c r="C88" s="240"/>
      <c r="D88" s="309" t="s">
        <v>167</v>
      </c>
      <c r="E88" s="369">
        <f>NETWORKDAYS(G88,H88,S.DDL_DEQClosed)</f>
        <v>1</v>
      </c>
      <c r="F88" s="494">
        <f ca="1">NETWORKDAYS(TODAY(),H88)</f>
        <v>24</v>
      </c>
      <c r="G88" s="384">
        <f>AAG88</f>
        <v>41414</v>
      </c>
      <c r="H88" s="370">
        <f>AAH88</f>
        <v>41414</v>
      </c>
      <c r="I88" s="590"/>
      <c r="J88" s="47"/>
      <c r="K88" s="593"/>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90"/>
      <c r="AAD88" s="113"/>
      <c r="AAE88" s="554">
        <f t="shared" si="741"/>
        <v>1</v>
      </c>
      <c r="AAF88" s="113" t="s">
        <v>0</v>
      </c>
      <c r="AAG88" s="78">
        <f>H87</f>
        <v>41414</v>
      </c>
      <c r="AAH88" s="78">
        <f>G88</f>
        <v>41414</v>
      </c>
      <c r="AAI88" s="77"/>
      <c r="AAJ88" s="77"/>
      <c r="AAK88" s="77"/>
      <c r="AAL88" s="89" t="str">
        <f>"Draft optional "&amp;S.CodeName&amp;"COMMITTEE.CHARTER"</f>
        <v>Draft optional COMMITTEE.CHARTER</v>
      </c>
      <c r="AAM88" s="113"/>
      <c r="AAN88"/>
      <c r="AAT88" s="23"/>
      <c r="AAU88" s="44"/>
    </row>
    <row r="89" spans="1:732" ht="15.75" customHeight="1" outlineLevel="1">
      <c r="A89" s="560"/>
      <c r="B89" s="377" t="s">
        <v>63</v>
      </c>
      <c r="C89" s="167"/>
      <c r="D89" s="387"/>
      <c r="E89" s="123"/>
      <c r="F89" s="507"/>
      <c r="G89" s="123"/>
      <c r="H89" s="123"/>
      <c r="I89" s="590"/>
      <c r="J89" s="47"/>
      <c r="K89" s="593"/>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619"/>
      <c r="ZZ89" s="624"/>
      <c r="AAA89" s="590"/>
      <c r="AAD89" s="113"/>
      <c r="AAE89" s="554">
        <f t="shared" si="741"/>
        <v>1</v>
      </c>
      <c r="AAF89" s="585" t="s">
        <v>199</v>
      </c>
      <c r="AAG89" s="39"/>
      <c r="AAH89" s="39" t="s">
        <v>0</v>
      </c>
      <c r="AAI89" s="77"/>
      <c r="AAJ89" s="77"/>
      <c r="AAK89" s="77"/>
      <c r="AAL89" s="39"/>
      <c r="AAM89" s="113"/>
      <c r="AAN89"/>
      <c r="AAT89" s="23"/>
      <c r="AAU89" s="44"/>
    </row>
    <row r="90" spans="1:732" ht="15.75" customHeight="1" outlineLevel="1">
      <c r="A90" s="560"/>
      <c r="B90" s="378" t="str">
        <f>AAL90</f>
        <v>Draft optional MESSAGE.MAP</v>
      </c>
      <c r="C90" s="678" t="s">
        <v>73</v>
      </c>
      <c r="D90" s="309" t="s">
        <v>161</v>
      </c>
      <c r="E90" s="369">
        <f t="shared" si="742"/>
        <v>1</v>
      </c>
      <c r="F90" s="494">
        <f t="shared" ca="1" si="743"/>
        <v>24</v>
      </c>
      <c r="G90" s="384">
        <f t="shared" si="744"/>
        <v>41414</v>
      </c>
      <c r="H90" s="370">
        <f t="shared" si="744"/>
        <v>41414</v>
      </c>
      <c r="I90" s="590"/>
      <c r="J90" s="47"/>
      <c r="K90" s="593"/>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90"/>
      <c r="AAD90" s="113"/>
      <c r="AAE90" s="554">
        <f t="shared" si="741"/>
        <v>1</v>
      </c>
      <c r="AAF90" s="113" t="s">
        <v>0</v>
      </c>
      <c r="AAG90" s="78">
        <f>H88</f>
        <v>41414</v>
      </c>
      <c r="AAH90" s="78">
        <f>G90</f>
        <v>41414</v>
      </c>
      <c r="AAI90" s="77"/>
      <c r="AAJ90" s="77"/>
      <c r="AAK90" s="77"/>
      <c r="AAL90" s="89" t="str">
        <f>"Draft optional "&amp;S.CodeName&amp;"MESSAGE.MAP"</f>
        <v>Draft optional MESSAGE.MAP</v>
      </c>
      <c r="AAM90" s="113"/>
      <c r="AAN90"/>
      <c r="AAT90" s="23"/>
      <c r="AAU90" s="44"/>
    </row>
    <row r="91" spans="1:732" ht="15.75" customHeight="1" outlineLevel="1">
      <c r="A91" s="560"/>
      <c r="B91" s="378" t="str">
        <f>AAL91</f>
        <v>Draft COMMITTEE.MEMBER.INVITATION.</v>
      </c>
      <c r="C91" s="240"/>
      <c r="D91" s="309" t="s">
        <v>219</v>
      </c>
      <c r="E91" s="369">
        <f t="shared" si="742"/>
        <v>1</v>
      </c>
      <c r="F91" s="494">
        <f t="shared" ca="1" si="743"/>
        <v>24</v>
      </c>
      <c r="G91" s="384">
        <f t="shared" si="744"/>
        <v>41414</v>
      </c>
      <c r="H91" s="370">
        <f t="shared" si="744"/>
        <v>41414</v>
      </c>
      <c r="I91" s="590"/>
      <c r="J91" s="47"/>
      <c r="K91" s="593"/>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90"/>
      <c r="AAD91" s="113"/>
      <c r="AAE91" s="554">
        <f t="shared" si="741"/>
        <v>1</v>
      </c>
      <c r="AAF91" s="113" t="s">
        <v>0</v>
      </c>
      <c r="AAG91" s="78">
        <f t="shared" si="746"/>
        <v>41414</v>
      </c>
      <c r="AAH91" s="78">
        <f t="shared" si="745"/>
        <v>41414</v>
      </c>
      <c r="AAI91" s="77"/>
      <c r="AAJ91" s="77"/>
      <c r="AAK91" s="77"/>
      <c r="AAL91" s="89" t="str">
        <f>"Draft "&amp;S.CodeName&amp;"COMMITTEE.MEMBER.INVITATION."</f>
        <v>Draft COMMITTEE.MEMBER.INVITATION.</v>
      </c>
      <c r="AAM91" s="113"/>
      <c r="AAN91"/>
      <c r="AAT91" s="23"/>
      <c r="AAU91" s="44"/>
    </row>
    <row r="92" spans="1:732" ht="15.75" customHeight="1" outlineLevel="1">
      <c r="A92" s="560"/>
      <c r="B92" s="378" t="str">
        <f>AAL92</f>
        <v>Draft optional COMMITTEE.WEB</v>
      </c>
      <c r="C92" s="240"/>
      <c r="D92" s="309" t="s">
        <v>161</v>
      </c>
      <c r="E92" s="369">
        <f t="shared" si="742"/>
        <v>1</v>
      </c>
      <c r="F92" s="494">
        <f t="shared" ca="1" si="743"/>
        <v>24</v>
      </c>
      <c r="G92" s="384">
        <f t="shared" si="744"/>
        <v>41414</v>
      </c>
      <c r="H92" s="370">
        <f t="shared" si="744"/>
        <v>41414</v>
      </c>
      <c r="I92" s="590"/>
      <c r="J92" s="47"/>
      <c r="K92" s="593"/>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90"/>
      <c r="AAD92" s="113"/>
      <c r="AAE92" s="554">
        <f t="shared" si="741"/>
        <v>1</v>
      </c>
      <c r="AAF92" s="113" t="s">
        <v>0</v>
      </c>
      <c r="AAG92" s="78">
        <f t="shared" si="746"/>
        <v>41414</v>
      </c>
      <c r="AAH92" s="78">
        <f t="shared" si="745"/>
        <v>41414</v>
      </c>
      <c r="AAI92" s="77"/>
      <c r="AAJ92" s="77"/>
      <c r="AAK92" s="77"/>
      <c r="AAL92" s="89" t="str">
        <f>"Draft optional "&amp;S.CodeName&amp;"COMMITTEE.WEB"</f>
        <v>Draft optional COMMITTEE.WEB</v>
      </c>
      <c r="AAM92" s="113"/>
      <c r="AAN92"/>
      <c r="AAT92" s="23"/>
      <c r="AAU92" s="44"/>
    </row>
    <row r="93" spans="1:732" ht="15.75" customHeight="1" outlineLevel="1">
      <c r="A93" s="560"/>
      <c r="B93" s="379" t="s">
        <v>228</v>
      </c>
      <c r="C93" s="240"/>
      <c r="D93" s="309" t="s">
        <v>167</v>
      </c>
      <c r="E93" s="369">
        <f t="shared" si="742"/>
        <v>1</v>
      </c>
      <c r="F93" s="494">
        <f t="shared" ca="1" si="743"/>
        <v>24</v>
      </c>
      <c r="G93" s="384">
        <f t="shared" si="744"/>
        <v>41414</v>
      </c>
      <c r="H93" s="370">
        <f t="shared" si="744"/>
        <v>41414</v>
      </c>
      <c r="I93" s="590"/>
      <c r="J93" s="47"/>
      <c r="K93" s="593"/>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590"/>
      <c r="AAD93" s="113"/>
      <c r="AAE93" s="554">
        <f t="shared" si="741"/>
        <v>1</v>
      </c>
      <c r="AAF93" s="113" t="s">
        <v>0</v>
      </c>
      <c r="AAG93" s="78">
        <f t="shared" si="746"/>
        <v>41414</v>
      </c>
      <c r="AAH93" s="78">
        <f t="shared" si="745"/>
        <v>41414</v>
      </c>
      <c r="AAI93" s="77"/>
      <c r="AAJ93" s="77"/>
      <c r="AAK93" s="77"/>
      <c r="AAL93" s="39"/>
      <c r="AAM93" s="113"/>
      <c r="AAN93"/>
      <c r="AAT93" s="23"/>
      <c r="AAU93" s="44"/>
    </row>
    <row r="94" spans="1:732" ht="81.75" customHeight="1" outlineLevel="1">
      <c r="A94" s="560"/>
      <c r="B94" s="779" t="s">
        <v>382</v>
      </c>
      <c r="C94" s="779"/>
      <c r="D94" s="779"/>
      <c r="E94" s="779"/>
      <c r="F94" s="779"/>
      <c r="G94" s="779"/>
      <c r="H94" s="779"/>
      <c r="I94" s="590"/>
      <c r="J94" s="50"/>
      <c r="K94" s="594"/>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c r="HS94" s="50"/>
      <c r="HT94" s="50"/>
      <c r="HU94" s="50"/>
      <c r="HV94" s="50"/>
      <c r="HW94" s="50"/>
      <c r="HX94" s="50"/>
      <c r="HY94" s="50"/>
      <c r="HZ94" s="50"/>
      <c r="IA94" s="50"/>
      <c r="IB94" s="50"/>
      <c r="IC94" s="50"/>
      <c r="ID94" s="50"/>
      <c r="IE94" s="50"/>
      <c r="IF94" s="50"/>
      <c r="IG94" s="50"/>
      <c r="IH94" s="50"/>
      <c r="II94" s="50"/>
      <c r="IJ94" s="50"/>
      <c r="IK94" s="50"/>
      <c r="IL94" s="50"/>
      <c r="IM94" s="50"/>
      <c r="IN94" s="50"/>
      <c r="IO94" s="50"/>
      <c r="IP94" s="50"/>
      <c r="IQ94" s="50"/>
      <c r="IR94" s="50"/>
      <c r="IS94" s="50"/>
      <c r="IT94" s="50"/>
      <c r="IU94" s="50"/>
      <c r="IV94" s="50"/>
      <c r="IW94" s="50"/>
      <c r="IX94" s="50"/>
      <c r="IY94" s="50"/>
      <c r="IZ94" s="50"/>
      <c r="JA94" s="50"/>
      <c r="JB94" s="50"/>
      <c r="JC94" s="50"/>
      <c r="JD94" s="50"/>
      <c r="JE94" s="50"/>
      <c r="JF94" s="50"/>
      <c r="JG94" s="50"/>
      <c r="JH94" s="50"/>
      <c r="JI94" s="50"/>
      <c r="JJ94" s="50"/>
      <c r="JK94" s="50"/>
      <c r="JL94" s="50"/>
      <c r="JM94" s="50"/>
      <c r="JN94" s="50"/>
      <c r="JO94" s="50"/>
      <c r="JP94" s="50"/>
      <c r="JQ94" s="50"/>
      <c r="JR94" s="50"/>
      <c r="JS94" s="50"/>
      <c r="JT94" s="50"/>
      <c r="JU94" s="50"/>
      <c r="JV94" s="50"/>
      <c r="JW94" s="50"/>
      <c r="JX94" s="50"/>
      <c r="JY94" s="50"/>
      <c r="JZ94" s="50"/>
      <c r="KA94" s="50"/>
      <c r="KB94" s="50"/>
      <c r="KC94" s="50"/>
      <c r="KD94" s="50"/>
      <c r="KE94" s="50"/>
      <c r="KF94" s="50"/>
      <c r="KG94" s="50"/>
      <c r="KH94" s="50"/>
      <c r="KI94" s="50"/>
      <c r="KJ94" s="50"/>
      <c r="KK94" s="50"/>
      <c r="KL94" s="50"/>
      <c r="KM94" s="50"/>
      <c r="KN94" s="50"/>
      <c r="KO94" s="50"/>
      <c r="KP94" s="50"/>
      <c r="KQ94" s="50"/>
      <c r="KR94" s="50"/>
      <c r="KS94" s="50"/>
      <c r="KT94" s="50"/>
      <c r="KU94" s="50"/>
      <c r="KV94" s="50"/>
      <c r="KW94" s="50"/>
      <c r="KX94" s="50"/>
      <c r="KY94" s="50"/>
      <c r="KZ94" s="50"/>
      <c r="LA94" s="50"/>
      <c r="LB94" s="50"/>
      <c r="LC94" s="50"/>
      <c r="LD94" s="50"/>
      <c r="LE94" s="50"/>
      <c r="LF94" s="50"/>
      <c r="LG94" s="50"/>
      <c r="LH94" s="50"/>
      <c r="LI94" s="50"/>
      <c r="LJ94" s="50"/>
      <c r="LK94" s="50"/>
      <c r="LL94" s="50"/>
      <c r="LM94" s="50"/>
      <c r="LN94" s="50"/>
      <c r="LO94" s="50"/>
      <c r="LP94" s="50"/>
      <c r="LQ94" s="50"/>
      <c r="LR94" s="50"/>
      <c r="LS94" s="50"/>
      <c r="LT94" s="50"/>
      <c r="LU94" s="50"/>
      <c r="LV94" s="50"/>
      <c r="LW94" s="50"/>
      <c r="LX94" s="50"/>
      <c r="LY94" s="50"/>
      <c r="LZ94" s="50"/>
      <c r="MA94" s="50"/>
      <c r="MB94" s="50"/>
      <c r="MC94" s="50"/>
      <c r="MD94" s="50"/>
      <c r="ME94" s="50"/>
      <c r="MF94" s="50"/>
      <c r="MG94" s="50"/>
      <c r="MH94" s="50"/>
      <c r="MI94" s="50"/>
      <c r="MJ94" s="50"/>
      <c r="MK94" s="50"/>
      <c r="ML94" s="50"/>
      <c r="MM94" s="50"/>
      <c r="MN94" s="50"/>
      <c r="MO94" s="50"/>
      <c r="MP94" s="50"/>
      <c r="MQ94" s="50"/>
      <c r="MR94" s="50"/>
      <c r="MS94" s="50"/>
      <c r="MT94" s="50"/>
      <c r="MU94" s="50"/>
      <c r="MV94" s="50"/>
      <c r="MW94" s="50"/>
      <c r="MX94" s="50"/>
      <c r="MY94" s="50"/>
      <c r="MZ94" s="50"/>
      <c r="NA94" s="50"/>
      <c r="NB94" s="50"/>
      <c r="NC94" s="50"/>
      <c r="ND94" s="50"/>
      <c r="NE94" s="50"/>
      <c r="NF94" s="50"/>
      <c r="NG94" s="50"/>
      <c r="NH94" s="50"/>
      <c r="NI94" s="50"/>
      <c r="NJ94" s="50"/>
      <c r="NK94" s="50"/>
      <c r="NL94" s="50"/>
      <c r="NM94" s="50"/>
      <c r="NN94" s="50"/>
      <c r="NO94" s="50"/>
      <c r="NP94" s="50"/>
      <c r="NQ94" s="50"/>
      <c r="NR94" s="50"/>
      <c r="NS94" s="50"/>
      <c r="NT94" s="50"/>
      <c r="NU94" s="50"/>
      <c r="NV94" s="50"/>
      <c r="NW94" s="50"/>
      <c r="NX94" s="50"/>
      <c r="NY94" s="50"/>
      <c r="NZ94" s="50"/>
      <c r="OA94" s="50"/>
      <c r="OB94" s="50"/>
      <c r="OC94" s="50"/>
      <c r="OD94" s="50"/>
      <c r="OE94" s="50"/>
      <c r="OF94" s="50"/>
      <c r="OG94" s="50"/>
      <c r="OH94" s="50"/>
      <c r="OI94" s="50"/>
      <c r="OJ94" s="50"/>
      <c r="OK94" s="50"/>
      <c r="OL94" s="50"/>
      <c r="OM94" s="50"/>
      <c r="ON94" s="50"/>
      <c r="OO94" s="50"/>
      <c r="OP94" s="50"/>
      <c r="OQ94" s="50"/>
      <c r="OR94" s="50"/>
      <c r="OS94" s="50"/>
      <c r="OT94" s="50"/>
      <c r="OU94" s="50"/>
      <c r="OV94" s="50"/>
      <c r="OW94" s="50"/>
      <c r="OX94" s="50"/>
      <c r="OY94" s="50"/>
      <c r="OZ94" s="50"/>
      <c r="PA94" s="50"/>
      <c r="PB94" s="50"/>
      <c r="PC94" s="50"/>
      <c r="PD94" s="50"/>
      <c r="PE94" s="50"/>
      <c r="PF94" s="50"/>
      <c r="PG94" s="50"/>
      <c r="PH94" s="50"/>
      <c r="PI94" s="50"/>
      <c r="PJ94" s="50"/>
      <c r="PK94" s="50"/>
      <c r="PL94" s="50"/>
      <c r="PM94" s="50"/>
      <c r="PN94" s="50"/>
      <c r="PO94" s="50"/>
      <c r="PP94" s="50"/>
      <c r="PQ94" s="50"/>
      <c r="PR94" s="50"/>
      <c r="PS94" s="50"/>
      <c r="PT94" s="50"/>
      <c r="PU94" s="50"/>
      <c r="PV94" s="50"/>
      <c r="PW94" s="50"/>
      <c r="PX94" s="50"/>
      <c r="PY94" s="50"/>
      <c r="PZ94" s="50"/>
      <c r="QA94" s="50"/>
      <c r="QB94" s="50"/>
      <c r="QC94" s="50"/>
      <c r="QD94" s="50"/>
      <c r="QE94" s="50"/>
      <c r="QF94" s="50"/>
      <c r="QG94" s="50"/>
      <c r="QH94" s="50"/>
      <c r="QI94" s="50"/>
      <c r="QJ94" s="50"/>
      <c r="QK94" s="50"/>
      <c r="QL94" s="50"/>
      <c r="QM94" s="50"/>
      <c r="QN94" s="50"/>
      <c r="QO94" s="50"/>
      <c r="QP94" s="50"/>
      <c r="QQ94" s="50"/>
      <c r="QR94" s="50"/>
      <c r="QS94" s="50"/>
      <c r="QT94" s="50"/>
      <c r="QU94" s="50"/>
      <c r="QV94" s="50"/>
      <c r="QW94" s="50"/>
      <c r="QX94" s="50"/>
      <c r="QY94" s="50"/>
      <c r="QZ94" s="50"/>
      <c r="RA94" s="50"/>
      <c r="RB94" s="50"/>
      <c r="RC94" s="50"/>
      <c r="RD94" s="50"/>
      <c r="RE94" s="50"/>
      <c r="RF94" s="50"/>
      <c r="RG94" s="50"/>
      <c r="RH94" s="50"/>
      <c r="RI94" s="50"/>
      <c r="RJ94" s="50"/>
      <c r="RK94" s="50"/>
      <c r="RL94" s="50"/>
      <c r="RM94" s="50"/>
      <c r="RN94" s="50"/>
      <c r="RO94" s="50"/>
      <c r="RP94" s="50"/>
      <c r="RQ94" s="50"/>
      <c r="RR94" s="50"/>
      <c r="RS94" s="50"/>
      <c r="RT94" s="50"/>
      <c r="RU94" s="50"/>
      <c r="RV94" s="50"/>
      <c r="RW94" s="50"/>
      <c r="RX94" s="50"/>
      <c r="RY94" s="50"/>
      <c r="RZ94" s="50"/>
      <c r="SA94" s="50"/>
      <c r="SB94" s="50"/>
      <c r="SC94" s="50"/>
      <c r="SD94" s="50"/>
      <c r="SE94" s="50"/>
      <c r="SF94" s="50"/>
      <c r="SG94" s="50"/>
      <c r="SH94" s="50"/>
      <c r="SI94" s="50"/>
      <c r="SJ94" s="50"/>
      <c r="SK94" s="50"/>
      <c r="SL94" s="50"/>
      <c r="SM94" s="50"/>
      <c r="SN94" s="50"/>
      <c r="SO94" s="50"/>
      <c r="SP94" s="50"/>
      <c r="SQ94" s="50"/>
      <c r="SR94" s="50"/>
      <c r="SS94" s="50"/>
      <c r="ST94" s="50"/>
      <c r="SU94" s="50"/>
      <c r="SV94" s="50"/>
      <c r="SW94" s="50"/>
      <c r="SX94" s="50"/>
      <c r="SY94" s="50"/>
      <c r="SZ94" s="50"/>
      <c r="TA94" s="50"/>
      <c r="TB94" s="50"/>
      <c r="TC94" s="50"/>
      <c r="TD94" s="50"/>
      <c r="TE94" s="50"/>
      <c r="TF94" s="50"/>
      <c r="TG94" s="50"/>
      <c r="TH94" s="50"/>
      <c r="TI94" s="50"/>
      <c r="TJ94" s="50"/>
      <c r="TK94" s="50"/>
      <c r="TL94" s="50"/>
      <c r="TM94" s="50"/>
      <c r="TN94" s="50"/>
      <c r="TO94" s="50"/>
      <c r="TP94" s="50"/>
      <c r="TQ94" s="50"/>
      <c r="TR94" s="50"/>
      <c r="TS94" s="50"/>
      <c r="TT94" s="50"/>
      <c r="TU94" s="50"/>
      <c r="TV94" s="50"/>
      <c r="TW94" s="50"/>
      <c r="TX94" s="50"/>
      <c r="TY94" s="50"/>
      <c r="TZ94" s="50"/>
      <c r="UA94" s="50"/>
      <c r="UB94" s="50"/>
      <c r="UC94" s="50"/>
      <c r="UD94" s="50"/>
      <c r="UE94" s="50"/>
      <c r="UF94" s="50"/>
      <c r="UG94" s="50"/>
      <c r="UH94" s="50"/>
      <c r="UI94" s="50"/>
      <c r="UJ94" s="50"/>
      <c r="UK94" s="50"/>
      <c r="UL94" s="50"/>
      <c r="UM94" s="50"/>
      <c r="UN94" s="50"/>
      <c r="UO94" s="50"/>
      <c r="UP94" s="50"/>
      <c r="UQ94" s="50"/>
      <c r="UR94" s="50"/>
      <c r="US94" s="50"/>
      <c r="UT94" s="50"/>
      <c r="UU94" s="50"/>
      <c r="UV94" s="50"/>
      <c r="UW94" s="50"/>
      <c r="UX94" s="50"/>
      <c r="UY94" s="50"/>
      <c r="UZ94" s="50"/>
      <c r="VA94" s="50"/>
      <c r="VB94" s="50"/>
      <c r="VC94" s="50"/>
      <c r="VD94" s="50"/>
      <c r="VE94" s="50"/>
      <c r="VF94" s="50"/>
      <c r="VG94" s="50"/>
      <c r="VH94" s="50"/>
      <c r="VI94" s="50"/>
      <c r="VJ94" s="50"/>
      <c r="VK94" s="50"/>
      <c r="VL94" s="50"/>
      <c r="VM94" s="50"/>
      <c r="VN94" s="50"/>
      <c r="VO94" s="50"/>
      <c r="VP94" s="50"/>
      <c r="VQ94" s="50"/>
      <c r="VR94" s="50"/>
      <c r="VS94" s="50"/>
      <c r="VT94" s="50"/>
      <c r="VU94" s="50"/>
      <c r="VV94" s="50"/>
      <c r="VW94" s="50"/>
      <c r="VX94" s="50"/>
      <c r="VY94" s="50"/>
      <c r="VZ94" s="50"/>
      <c r="WA94" s="50"/>
      <c r="WB94" s="50"/>
      <c r="WC94" s="50"/>
      <c r="WD94" s="50"/>
      <c r="WE94" s="50"/>
      <c r="WF94" s="50"/>
      <c r="WG94" s="50"/>
      <c r="WH94" s="50"/>
      <c r="WI94" s="50"/>
      <c r="WJ94" s="50"/>
      <c r="WK94" s="50"/>
      <c r="WL94" s="50"/>
      <c r="WM94" s="50"/>
      <c r="WN94" s="50"/>
      <c r="WO94" s="50"/>
      <c r="WP94" s="50"/>
      <c r="WQ94" s="50"/>
      <c r="WR94" s="50"/>
      <c r="WS94" s="50"/>
      <c r="WT94" s="50"/>
      <c r="WU94" s="50"/>
      <c r="WV94" s="50"/>
      <c r="WW94" s="50"/>
      <c r="WX94" s="50"/>
      <c r="WY94" s="50"/>
      <c r="WZ94" s="50"/>
      <c r="XA94" s="50"/>
      <c r="XB94" s="50"/>
      <c r="XC94" s="50"/>
      <c r="XD94" s="50"/>
      <c r="XE94" s="50"/>
      <c r="XF94" s="50"/>
      <c r="XG94" s="50"/>
      <c r="XH94" s="50"/>
      <c r="XI94" s="50"/>
      <c r="XJ94" s="50"/>
      <c r="XK94" s="50"/>
      <c r="XL94" s="50"/>
      <c r="XM94" s="50"/>
      <c r="XN94" s="50"/>
      <c r="XO94" s="50"/>
      <c r="XP94" s="50"/>
      <c r="XQ94" s="50"/>
      <c r="XR94" s="50"/>
      <c r="XS94" s="50"/>
      <c r="XT94" s="50"/>
      <c r="XU94" s="50"/>
      <c r="XV94" s="50"/>
      <c r="XW94" s="50"/>
      <c r="XX94" s="50"/>
      <c r="XY94" s="50"/>
      <c r="XZ94" s="50"/>
      <c r="YA94" s="50"/>
      <c r="YB94" s="50"/>
      <c r="YC94" s="50"/>
      <c r="YD94" s="50"/>
      <c r="YE94" s="50"/>
      <c r="YF94" s="50"/>
      <c r="YG94" s="50"/>
      <c r="YH94" s="50"/>
      <c r="YI94" s="50"/>
      <c r="YJ94" s="50"/>
      <c r="YK94" s="50"/>
      <c r="YL94" s="50"/>
      <c r="YM94" s="50"/>
      <c r="YN94" s="50"/>
      <c r="YO94" s="50"/>
      <c r="YP94" s="50"/>
      <c r="YQ94" s="50"/>
      <c r="YR94" s="50"/>
      <c r="YS94" s="50"/>
      <c r="YT94" s="50"/>
      <c r="YU94" s="50"/>
      <c r="YV94" s="50"/>
      <c r="YW94" s="50"/>
      <c r="YX94" s="50"/>
      <c r="YY94" s="50"/>
      <c r="YZ94" s="50"/>
      <c r="ZA94" s="50"/>
      <c r="ZB94" s="50"/>
      <c r="ZC94" s="50"/>
      <c r="ZD94" s="50"/>
      <c r="ZE94" s="50"/>
      <c r="ZF94" s="50"/>
      <c r="ZG94" s="50"/>
      <c r="ZH94" s="50"/>
      <c r="ZI94" s="50"/>
      <c r="ZJ94" s="50"/>
      <c r="ZK94" s="50"/>
      <c r="ZL94" s="50"/>
      <c r="ZM94" s="50"/>
      <c r="ZN94" s="50"/>
      <c r="ZO94" s="50"/>
      <c r="ZP94" s="50"/>
      <c r="ZQ94" s="50"/>
      <c r="ZR94" s="50"/>
      <c r="ZS94" s="50"/>
      <c r="ZT94" s="50"/>
      <c r="ZU94" s="50"/>
      <c r="ZV94" s="50"/>
      <c r="ZW94" s="50"/>
      <c r="ZX94" s="50"/>
      <c r="ZY94" s="620"/>
      <c r="ZZ94" s="36"/>
      <c r="AAA94" s="590"/>
      <c r="AAD94" s="113"/>
      <c r="AAE94" s="554">
        <f t="shared" si="741"/>
        <v>1</v>
      </c>
      <c r="AAF94" s="585" t="s">
        <v>199</v>
      </c>
      <c r="AAG94" s="76"/>
      <c r="AAH94" s="76"/>
      <c r="AAI94" s="76"/>
      <c r="AAJ94" s="57"/>
      <c r="AAK94" s="57"/>
      <c r="AAL94" s="40"/>
      <c r="AAM94" s="113"/>
      <c r="AAN94"/>
      <c r="AAT94" s="23"/>
      <c r="AAU94" s="44"/>
    </row>
    <row r="95" spans="1:732" ht="15.75" customHeight="1" outlineLevel="1">
      <c r="A95" s="560"/>
      <c r="B95" s="241" t="s">
        <v>23</v>
      </c>
      <c r="C95" s="713"/>
      <c r="D95" s="242"/>
      <c r="E95" s="243"/>
      <c r="F95" s="243"/>
      <c r="G95" s="242"/>
      <c r="H95" s="242"/>
      <c r="I95" s="590"/>
      <c r="J95" s="47"/>
      <c r="K95" s="593"/>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619"/>
      <c r="ZZ95" s="624"/>
      <c r="AAA95" s="590"/>
      <c r="AAD95" s="113"/>
      <c r="AAE95" s="554">
        <f t="shared" si="741"/>
        <v>1</v>
      </c>
      <c r="AAF95" s="585" t="s">
        <v>199</v>
      </c>
      <c r="AAG95" s="63"/>
      <c r="AAH95" s="63"/>
      <c r="AAI95" s="63"/>
      <c r="AAJ95" s="56"/>
      <c r="AAK95" s="56"/>
      <c r="AAL95" s="39"/>
      <c r="AAM95" s="113"/>
      <c r="AAN95"/>
      <c r="AAT95" s="23"/>
      <c r="AAU95" s="44"/>
    </row>
    <row r="96" spans="1:732" ht="15.75" customHeight="1" outlineLevel="1">
      <c r="A96" s="560"/>
      <c r="B96" s="388" t="s">
        <v>376</v>
      </c>
      <c r="C96" s="169"/>
      <c r="D96" s="309" t="s">
        <v>95</v>
      </c>
      <c r="E96" s="369">
        <f t="shared" ref="E96:E107" si="747">NETWORKDAYS(G96,H96,S.DDL_DEQClosed)</f>
        <v>1</v>
      </c>
      <c r="F96" s="494">
        <f t="shared" ref="F96:F107" ca="1" si="748">NETWORKDAYS(TODAY(),H96)</f>
        <v>24</v>
      </c>
      <c r="G96" s="384">
        <f t="shared" si="744"/>
        <v>41414</v>
      </c>
      <c r="H96" s="370">
        <f t="shared" si="744"/>
        <v>41414</v>
      </c>
      <c r="I96" s="590"/>
      <c r="J96" s="47"/>
      <c r="K96" s="593"/>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90"/>
      <c r="AAD96" s="113"/>
      <c r="AAE96" s="554">
        <f t="shared" si="741"/>
        <v>1</v>
      </c>
      <c r="AAF96" s="113" t="s">
        <v>0</v>
      </c>
      <c r="AAG96" s="78">
        <f>H93</f>
        <v>41414</v>
      </c>
      <c r="AAH96" s="78">
        <f>G96</f>
        <v>41414</v>
      </c>
      <c r="AAI96" s="63"/>
      <c r="AAJ96" s="56"/>
      <c r="AAK96" s="56"/>
      <c r="AAL96" s="39"/>
      <c r="AAM96" s="113"/>
      <c r="AAN96"/>
      <c r="AAT96" s="23"/>
      <c r="AAU96" s="44"/>
      <c r="AAV96" s="23"/>
      <c r="AAW96" s="23"/>
      <c r="AAX96" s="23"/>
      <c r="AAY96" s="23"/>
      <c r="AAZ96" s="23"/>
      <c r="ABA96" s="23"/>
      <c r="ABB96" s="23"/>
      <c r="ABC96" s="23"/>
      <c r="ABD96" s="23"/>
    </row>
    <row r="97" spans="1:732" ht="15.75" customHeight="1" outlineLevel="1">
      <c r="A97" s="560"/>
      <c r="B97" s="388" t="s">
        <v>354</v>
      </c>
      <c r="C97" s="169"/>
      <c r="D97" s="385" t="s">
        <v>96</v>
      </c>
      <c r="E97" s="369">
        <f t="shared" si="747"/>
        <v>1</v>
      </c>
      <c r="F97" s="494">
        <f t="shared" ca="1" si="748"/>
        <v>24</v>
      </c>
      <c r="G97" s="384">
        <f t="shared" si="744"/>
        <v>41414</v>
      </c>
      <c r="H97" s="370">
        <f t="shared" si="744"/>
        <v>41414</v>
      </c>
      <c r="I97" s="590"/>
      <c r="J97" s="47"/>
      <c r="K97" s="593"/>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90"/>
      <c r="AAD97" s="113"/>
      <c r="AAE97" s="554">
        <f t="shared" si="741"/>
        <v>1</v>
      </c>
      <c r="AAF97" s="113" t="s">
        <v>0</v>
      </c>
      <c r="AAG97" s="78">
        <f>H96</f>
        <v>41414</v>
      </c>
      <c r="AAH97" s="78">
        <f>G97</f>
        <v>41414</v>
      </c>
      <c r="AAI97" s="63"/>
      <c r="AAJ97" s="56"/>
      <c r="AAK97" s="56"/>
      <c r="AAL97" s="39"/>
      <c r="AAM97" s="113"/>
      <c r="AAN97"/>
      <c r="AAT97" s="23"/>
      <c r="AAU97" s="44"/>
    </row>
    <row r="98" spans="1:732" s="23" customFormat="1" ht="15.75" customHeight="1" outlineLevel="1">
      <c r="A98" s="560"/>
      <c r="B98" s="388" t="s">
        <v>221</v>
      </c>
      <c r="C98" s="678" t="s">
        <v>73</v>
      </c>
      <c r="D98" s="309" t="s">
        <v>176</v>
      </c>
      <c r="E98" s="369"/>
      <c r="F98" s="494">
        <f t="shared" ref="F98" ca="1" si="749">NETWORKDAYS(TODAY(),H98)</f>
        <v>24</v>
      </c>
      <c r="G98" s="384">
        <f>AAG98</f>
        <v>41414</v>
      </c>
      <c r="H98" s="370">
        <f>AAH98</f>
        <v>41414</v>
      </c>
      <c r="I98" s="590"/>
      <c r="J98" s="47"/>
      <c r="K98" s="593"/>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590"/>
      <c r="AAB98"/>
      <c r="AAC98"/>
      <c r="AAD98" s="113"/>
      <c r="AAE98" s="554">
        <f t="shared" si="741"/>
        <v>1</v>
      </c>
      <c r="AAF98" s="113" t="s">
        <v>0</v>
      </c>
      <c r="AAG98" s="78">
        <f>H97</f>
        <v>41414</v>
      </c>
      <c r="AAH98" s="78">
        <f t="shared" ref="AAH98:AAH103" si="750">G98</f>
        <v>41414</v>
      </c>
      <c r="AAI98" s="63"/>
      <c r="AAJ98" s="56"/>
      <c r="AAK98" s="56"/>
      <c r="AAL98" s="39"/>
      <c r="AAM98" s="113"/>
      <c r="AAU98" s="44"/>
      <c r="AAV98"/>
      <c r="AAW98"/>
      <c r="AAX98"/>
      <c r="AAY98"/>
      <c r="AAZ98"/>
      <c r="ABA98"/>
      <c r="ABB98"/>
      <c r="ABC98"/>
      <c r="ABD98"/>
    </row>
    <row r="99" spans="1:732" ht="15.75" customHeight="1" outlineLevel="1">
      <c r="A99" s="560"/>
      <c r="B99" s="388" t="s">
        <v>229</v>
      </c>
      <c r="C99" s="169"/>
      <c r="D99" s="385" t="s">
        <v>96</v>
      </c>
      <c r="E99" s="369">
        <f t="shared" si="747"/>
        <v>1</v>
      </c>
      <c r="F99" s="494">
        <f t="shared" ca="1" si="748"/>
        <v>24</v>
      </c>
      <c r="G99" s="384">
        <f t="shared" si="744"/>
        <v>41414</v>
      </c>
      <c r="H99" s="370">
        <f t="shared" si="744"/>
        <v>41414</v>
      </c>
      <c r="I99" s="590"/>
      <c r="J99" s="47"/>
      <c r="K99" s="593"/>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590"/>
      <c r="AAD99" s="113"/>
      <c r="AAE99" s="554">
        <f t="shared" si="741"/>
        <v>1</v>
      </c>
      <c r="AAF99" s="113" t="s">
        <v>0</v>
      </c>
      <c r="AAG99" s="78">
        <f>H98</f>
        <v>41414</v>
      </c>
      <c r="AAH99" s="78">
        <f t="shared" si="750"/>
        <v>41414</v>
      </c>
      <c r="AAI99" s="63"/>
      <c r="AAJ99" s="56"/>
      <c r="AAK99" s="56"/>
      <c r="AAL99" s="672" t="s">
        <v>343</v>
      </c>
      <c r="AAM99" s="113"/>
      <c r="AAN99"/>
      <c r="AAT99" s="23"/>
      <c r="AAU99" s="44"/>
    </row>
    <row r="100" spans="1:732" ht="15.75" customHeight="1" outlineLevel="1">
      <c r="A100" s="560"/>
      <c r="B100" s="388" t="s">
        <v>129</v>
      </c>
      <c r="C100" s="681" t="s">
        <v>130</v>
      </c>
      <c r="D100" s="386" t="s">
        <v>176</v>
      </c>
      <c r="E100" s="369"/>
      <c r="F100" s="494">
        <f t="shared" ca="1" si="748"/>
        <v>24</v>
      </c>
      <c r="G100" s="384">
        <f>AAG100</f>
        <v>41414</v>
      </c>
      <c r="H100" s="370">
        <f>AAH100</f>
        <v>41414</v>
      </c>
      <c r="I100" s="590"/>
      <c r="J100" s="47"/>
      <c r="K100" s="593"/>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90"/>
      <c r="AAD100" s="113"/>
      <c r="AAE100" s="554">
        <f t="shared" si="741"/>
        <v>1</v>
      </c>
      <c r="AAF100" s="113" t="s">
        <v>0</v>
      </c>
      <c r="AAG100" s="78">
        <f t="shared" ref="AAG100:AAG105" si="751">H99</f>
        <v>41414</v>
      </c>
      <c r="AAH100" s="78">
        <f t="shared" si="750"/>
        <v>41414</v>
      </c>
      <c r="AAI100" s="63"/>
      <c r="AAJ100" s="56"/>
      <c r="AAK100" s="56"/>
      <c r="AAL100" s="39"/>
      <c r="AAM100" s="113"/>
      <c r="AAN100"/>
      <c r="AAT100" s="23"/>
      <c r="AAU100" s="44"/>
    </row>
    <row r="101" spans="1:732" ht="15.75" customHeight="1" outlineLevel="1">
      <c r="A101" s="560"/>
      <c r="B101" s="388" t="s">
        <v>198</v>
      </c>
      <c r="C101" s="714" t="s">
        <v>201</v>
      </c>
      <c r="D101" s="386" t="s">
        <v>176</v>
      </c>
      <c r="E101" s="369">
        <f t="shared" ref="E101" si="752">NETWORKDAYS(G101,H101,S.DDL_DEQClosed)</f>
        <v>1</v>
      </c>
      <c r="F101" s="494">
        <f t="shared" ca="1" si="748"/>
        <v>24</v>
      </c>
      <c r="G101" s="384">
        <f t="shared" ref="G101:H101" si="753">AAG101</f>
        <v>41414</v>
      </c>
      <c r="H101" s="370">
        <f t="shared" si="753"/>
        <v>41414</v>
      </c>
      <c r="I101" s="590"/>
      <c r="J101" s="47"/>
      <c r="K101" s="593"/>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90"/>
      <c r="AAD101" s="113"/>
      <c r="AAE101" s="554">
        <f t="shared" si="741"/>
        <v>1</v>
      </c>
      <c r="AAF101" s="113" t="s">
        <v>0</v>
      </c>
      <c r="AAG101" s="78">
        <f t="shared" si="751"/>
        <v>41414</v>
      </c>
      <c r="AAH101" s="78">
        <f t="shared" si="750"/>
        <v>41414</v>
      </c>
      <c r="AAI101" s="63"/>
      <c r="AAJ101" s="56"/>
      <c r="AAK101" s="56"/>
      <c r="AAL101" s="39"/>
      <c r="AAM101" s="113"/>
      <c r="AAN101"/>
      <c r="AAT101" s="23"/>
      <c r="AAU101" s="44"/>
    </row>
    <row r="102" spans="1:732" ht="15.75" customHeight="1" outlineLevel="1">
      <c r="A102" s="560"/>
      <c r="B102" s="376" t="s">
        <v>222</v>
      </c>
      <c r="C102" s="169"/>
      <c r="D102" s="309" t="s">
        <v>177</v>
      </c>
      <c r="E102" s="369">
        <f t="shared" si="747"/>
        <v>1</v>
      </c>
      <c r="F102" s="494">
        <f t="shared" ca="1" si="748"/>
        <v>24</v>
      </c>
      <c r="G102" s="384">
        <f t="shared" si="744"/>
        <v>41414</v>
      </c>
      <c r="H102" s="370">
        <f t="shared" si="744"/>
        <v>41414</v>
      </c>
      <c r="I102" s="590"/>
      <c r="J102" s="47"/>
      <c r="K102" s="593"/>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90"/>
      <c r="AAD102" s="113"/>
      <c r="AAE102" s="554">
        <f t="shared" si="741"/>
        <v>1</v>
      </c>
      <c r="AAF102" s="113" t="s">
        <v>0</v>
      </c>
      <c r="AAG102" s="78">
        <f t="shared" si="751"/>
        <v>41414</v>
      </c>
      <c r="AAH102" s="78">
        <f t="shared" si="750"/>
        <v>41414</v>
      </c>
      <c r="AAI102" s="63"/>
      <c r="AAJ102" s="56"/>
      <c r="AAK102" s="56"/>
      <c r="AAL102" s="39"/>
      <c r="AAM102" s="113"/>
      <c r="AAN102"/>
      <c r="AAT102" s="23"/>
      <c r="AAU102" s="44"/>
    </row>
    <row r="103" spans="1:732" ht="15" customHeight="1" outlineLevel="1">
      <c r="A103" s="560"/>
      <c r="B103" s="344" t="s">
        <v>223</v>
      </c>
      <c r="C103" s="169"/>
      <c r="D103" s="309" t="s">
        <v>176</v>
      </c>
      <c r="E103" s="369">
        <f t="shared" si="747"/>
        <v>1</v>
      </c>
      <c r="F103" s="494">
        <f t="shared" ca="1" si="748"/>
        <v>24</v>
      </c>
      <c r="G103" s="384">
        <f t="shared" si="744"/>
        <v>41414</v>
      </c>
      <c r="H103" s="370">
        <f t="shared" si="744"/>
        <v>41414</v>
      </c>
      <c r="I103" s="590"/>
      <c r="J103" s="47"/>
      <c r="K103" s="593"/>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90"/>
      <c r="AAD103" s="113"/>
      <c r="AAE103" s="554">
        <f t="shared" si="741"/>
        <v>1</v>
      </c>
      <c r="AAF103" s="113" t="s">
        <v>0</v>
      </c>
      <c r="AAG103" s="78">
        <f t="shared" si="751"/>
        <v>41414</v>
      </c>
      <c r="AAH103" s="78">
        <f t="shared" si="750"/>
        <v>41414</v>
      </c>
      <c r="AAI103" s="63"/>
      <c r="AAJ103" s="56"/>
      <c r="AAK103" s="56"/>
      <c r="AAL103" s="39"/>
      <c r="AAM103" s="113"/>
      <c r="AAN103"/>
      <c r="AAT103" s="23"/>
      <c r="AAU103" s="44"/>
      <c r="AAV103" s="23"/>
      <c r="AAW103" s="23"/>
      <c r="AAX103" s="23"/>
      <c r="AAY103" s="23"/>
      <c r="AAZ103" s="23"/>
      <c r="ABA103" s="23"/>
      <c r="ABB103" s="23"/>
      <c r="ABC103" s="23"/>
      <c r="ABD103" s="23"/>
    </row>
    <row r="104" spans="1:732" ht="15" customHeight="1" outlineLevel="1">
      <c r="A104" s="560"/>
      <c r="B104" s="376" t="s">
        <v>133</v>
      </c>
      <c r="C104" s="682" t="s">
        <v>94</v>
      </c>
      <c r="D104" s="309" t="s">
        <v>167</v>
      </c>
      <c r="E104" s="369">
        <f>NETWORKDAYS(G104,H104,S.DDL_DEQClosed)</f>
        <v>1</v>
      </c>
      <c r="F104" s="494">
        <f ca="1">NETWORKDAYS(TODAY(),H104)</f>
        <v>24</v>
      </c>
      <c r="G104" s="384">
        <f>AAG104</f>
        <v>41414</v>
      </c>
      <c r="H104" s="370">
        <f>AAH104</f>
        <v>41414</v>
      </c>
      <c r="I104" s="590"/>
      <c r="J104" s="47"/>
      <c r="K104" s="593"/>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90"/>
      <c r="AAD104" s="113"/>
      <c r="AAE104" s="554">
        <f t="shared" si="741"/>
        <v>1</v>
      </c>
      <c r="AAF104" s="113" t="s">
        <v>0</v>
      </c>
      <c r="AAG104" s="78">
        <f t="shared" si="751"/>
        <v>41414</v>
      </c>
      <c r="AAH104" s="78">
        <f>G104</f>
        <v>41414</v>
      </c>
      <c r="AAI104" s="63"/>
      <c r="AAJ104" s="56"/>
      <c r="AAK104" s="56"/>
      <c r="AAL104" s="39"/>
      <c r="AAM104" s="113"/>
      <c r="AAN104"/>
      <c r="AAT104" s="23"/>
      <c r="AAU104" s="44"/>
    </row>
    <row r="105" spans="1:732" s="23" customFormat="1" ht="15" customHeight="1" outlineLevel="1">
      <c r="A105" s="560"/>
      <c r="B105" s="376" t="s">
        <v>224</v>
      </c>
      <c r="C105" s="714" t="s">
        <v>201</v>
      </c>
      <c r="D105" s="309" t="s">
        <v>167</v>
      </c>
      <c r="E105" s="369">
        <f t="shared" ref="E105" si="754">NETWORKDAYS(G105,H105,S.DDL_DEQClosed)</f>
        <v>1</v>
      </c>
      <c r="F105" s="494">
        <f t="shared" ref="F105" ca="1" si="755">NETWORKDAYS(TODAY(),H105)</f>
        <v>24</v>
      </c>
      <c r="G105" s="384">
        <f t="shared" ref="G105" si="756">AAG105</f>
        <v>41414</v>
      </c>
      <c r="H105" s="370">
        <f t="shared" ref="H105" si="757">AAH105</f>
        <v>41414</v>
      </c>
      <c r="I105" s="590"/>
      <c r="J105" s="47"/>
      <c r="K105" s="593"/>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90"/>
      <c r="AAB105"/>
      <c r="AAC105"/>
      <c r="AAD105" s="113"/>
      <c r="AAE105" s="554">
        <f t="shared" si="741"/>
        <v>1</v>
      </c>
      <c r="AAF105" s="113" t="s">
        <v>0</v>
      </c>
      <c r="AAG105" s="78">
        <f t="shared" si="751"/>
        <v>41414</v>
      </c>
      <c r="AAH105" s="78">
        <f>G105</f>
        <v>41414</v>
      </c>
      <c r="AAI105" s="63"/>
      <c r="AAJ105" s="56"/>
      <c r="AAK105" s="56"/>
      <c r="AAL105" s="39"/>
      <c r="AAM105" s="113"/>
      <c r="AAU105" s="44"/>
      <c r="AAV105"/>
      <c r="AAW105"/>
      <c r="AAX105"/>
      <c r="AAY105"/>
      <c r="AAZ105"/>
      <c r="ABA105"/>
      <c r="ABB105"/>
      <c r="ABC105"/>
      <c r="ABD105"/>
    </row>
    <row r="106" spans="1:732" ht="18" customHeight="1" outlineLevel="1">
      <c r="A106" s="560"/>
      <c r="B106" s="245" t="s">
        <v>62</v>
      </c>
      <c r="C106" s="169"/>
      <c r="D106" s="762"/>
      <c r="E106" s="762"/>
      <c r="F106" s="762"/>
      <c r="G106" s="400">
        <f ca="1">TODAY()</f>
        <v>41381</v>
      </c>
      <c r="H106" s="400" t="s">
        <v>220</v>
      </c>
      <c r="I106" s="590"/>
      <c r="J106" s="47"/>
      <c r="K106" s="593"/>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619"/>
      <c r="ZZ106" s="624"/>
      <c r="AAA106" s="590"/>
      <c r="AAD106" s="113"/>
      <c r="AAE106" s="554">
        <f t="shared" si="741"/>
        <v>1</v>
      </c>
      <c r="AAF106" s="585" t="s">
        <v>199</v>
      </c>
      <c r="AAG106" s="39" t="s">
        <v>0</v>
      </c>
      <c r="AAH106" s="39" t="s">
        <v>0</v>
      </c>
      <c r="AAI106" s="39"/>
      <c r="AAJ106" s="56"/>
      <c r="AAK106" s="56"/>
      <c r="AAL106" s="39"/>
      <c r="AAM106" s="113"/>
      <c r="AAN106"/>
      <c r="AAT106" s="23"/>
      <c r="AAU106" s="44"/>
    </row>
    <row r="107" spans="1:732" ht="15" customHeight="1" outlineLevel="2">
      <c r="A107" s="560"/>
      <c r="B107" s="376" t="s">
        <v>59</v>
      </c>
      <c r="C107" s="348"/>
      <c r="D107" s="309" t="s">
        <v>167</v>
      </c>
      <c r="E107" s="369">
        <f t="shared" si="747"/>
        <v>1</v>
      </c>
      <c r="F107" s="494">
        <f t="shared" ca="1" si="748"/>
        <v>24</v>
      </c>
      <c r="G107" s="384">
        <f t="shared" si="744"/>
        <v>41414</v>
      </c>
      <c r="H107" s="370">
        <f t="shared" si="744"/>
        <v>41414</v>
      </c>
      <c r="I107" s="590"/>
      <c r="J107" s="47"/>
      <c r="K107" s="593"/>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50"/>
      <c r="ZZ107" s="50"/>
      <c r="AAA107" s="590"/>
      <c r="AAD107" s="113"/>
      <c r="AAE107" s="554">
        <f t="shared" si="741"/>
        <v>1</v>
      </c>
      <c r="AAF107" s="113"/>
      <c r="AAG107" s="78">
        <f>H104</f>
        <v>41414</v>
      </c>
      <c r="AAH107" s="78">
        <f t="shared" ref="AAH107" si="758">G107</f>
        <v>41414</v>
      </c>
      <c r="AAI107" s="63"/>
      <c r="AAJ107" s="56"/>
      <c r="AAK107" s="56"/>
      <c r="AAL107" s="39"/>
      <c r="AAM107" s="113"/>
      <c r="AAN107"/>
      <c r="AAT107" s="23"/>
      <c r="AAU107" s="44"/>
    </row>
    <row r="108" spans="1:732" ht="15" customHeight="1" outlineLevel="2">
      <c r="A108" s="560"/>
      <c r="B108" s="377" t="s">
        <v>58</v>
      </c>
      <c r="C108" s="390"/>
      <c r="D108" s="398"/>
      <c r="E108" s="401"/>
      <c r="F108" s="401"/>
      <c r="G108" s="357"/>
      <c r="H108" s="402"/>
      <c r="I108" s="590"/>
      <c r="J108" s="47"/>
      <c r="K108" s="593"/>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619"/>
      <c r="ZZ108" s="624"/>
      <c r="AAA108" s="590"/>
      <c r="AAD108" s="113"/>
      <c r="AAE108" s="554">
        <f t="shared" si="741"/>
        <v>1</v>
      </c>
      <c r="AAF108" s="585" t="s">
        <v>199</v>
      </c>
      <c r="AAG108" s="63"/>
      <c r="AAH108" s="76"/>
      <c r="AAI108" s="76"/>
      <c r="AAJ108" s="56"/>
      <c r="AAK108" s="56"/>
      <c r="AAL108" s="39"/>
      <c r="AAM108" s="113"/>
      <c r="AAN108"/>
      <c r="AAT108" s="23"/>
      <c r="AAU108" s="44"/>
    </row>
    <row r="109" spans="1:732" ht="15" customHeight="1" outlineLevel="2">
      <c r="A109" s="560"/>
      <c r="B109" s="378" t="str">
        <f ca="1">"Draft AGENDA."&amp;TEXT($G$106,"mm.dd.yy")&amp;""</f>
        <v>Draft AGENDA.04.17.13</v>
      </c>
      <c r="C109" s="232" t="s">
        <v>73</v>
      </c>
      <c r="D109" s="309" t="s">
        <v>57</v>
      </c>
      <c r="E109" s="369">
        <f t="shared" ref="E109:E120" si="759">NETWORKDAYS(G109,H109,S.DDL_DEQClosed)</f>
        <v>1</v>
      </c>
      <c r="F109" s="494">
        <f t="shared" ref="F109:F120" ca="1" si="760">NETWORKDAYS(TODAY(),H109)</f>
        <v>24</v>
      </c>
      <c r="G109" s="384">
        <f t="shared" si="744"/>
        <v>41414</v>
      </c>
      <c r="H109" s="370">
        <f t="shared" si="744"/>
        <v>41414</v>
      </c>
      <c r="I109" s="590"/>
      <c r="J109" s="47"/>
      <c r="K109" s="593"/>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50"/>
      <c r="ZZ109" s="50"/>
      <c r="AAA109" s="590"/>
      <c r="AAD109" s="113"/>
      <c r="AAE109" s="554">
        <f t="shared" si="741"/>
        <v>1</v>
      </c>
      <c r="AAF109" s="113" t="s">
        <v>0</v>
      </c>
      <c r="AAG109" s="78">
        <f>H107</f>
        <v>41414</v>
      </c>
      <c r="AAH109" s="78">
        <f>G109</f>
        <v>41414</v>
      </c>
      <c r="AAI109" s="77"/>
      <c r="AAJ109" s="79"/>
      <c r="AAK109" s="79"/>
      <c r="AAL109" s="89" t="str">
        <f>"Draft "&amp;S.CodeName&amp;"AGENDA.mm.dd.yyyy.2.00"</f>
        <v>Draft AGENDA.mm.dd.yyyy.2.00</v>
      </c>
      <c r="AAM109" s="113"/>
      <c r="AAN109"/>
      <c r="AAT109" s="23"/>
      <c r="AAU109" s="44"/>
    </row>
    <row r="110" spans="1:732" ht="15" customHeight="1" outlineLevel="2">
      <c r="A110" s="560"/>
      <c r="B110" s="392" t="s">
        <v>227</v>
      </c>
      <c r="C110" s="391"/>
      <c r="D110" s="309" t="s">
        <v>57</v>
      </c>
      <c r="E110" s="369">
        <f t="shared" si="759"/>
        <v>1</v>
      </c>
      <c r="F110" s="494">
        <f t="shared" ca="1" si="760"/>
        <v>24</v>
      </c>
      <c r="G110" s="384">
        <f t="shared" si="744"/>
        <v>41414</v>
      </c>
      <c r="H110" s="370">
        <f t="shared" si="744"/>
        <v>41414</v>
      </c>
      <c r="I110" s="590"/>
      <c r="J110" s="47"/>
      <c r="K110" s="593"/>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90"/>
      <c r="AAD110" s="113"/>
      <c r="AAE110" s="554">
        <f t="shared" si="741"/>
        <v>1</v>
      </c>
      <c r="AAF110" s="113" t="s">
        <v>0</v>
      </c>
      <c r="AAG110" s="78">
        <f>H109</f>
        <v>41414</v>
      </c>
      <c r="AAH110" s="78">
        <f t="shared" ref="AAH110:AAH120" si="761">G110</f>
        <v>41414</v>
      </c>
      <c r="AAI110" s="63"/>
      <c r="AAJ110" s="56"/>
      <c r="AAK110" s="56"/>
      <c r="AAL110" s="56"/>
      <c r="AAM110" s="113"/>
      <c r="AAN110"/>
      <c r="AAT110" s="23"/>
      <c r="AAU110" s="44"/>
    </row>
    <row r="111" spans="1:732" ht="15" customHeight="1" outlineLevel="2">
      <c r="A111" s="560"/>
      <c r="B111" s="392" t="s">
        <v>227</v>
      </c>
      <c r="C111" s="391"/>
      <c r="D111" s="309" t="s">
        <v>57</v>
      </c>
      <c r="E111" s="369">
        <f t="shared" si="759"/>
        <v>1</v>
      </c>
      <c r="F111" s="494">
        <f t="shared" ca="1" si="760"/>
        <v>24</v>
      </c>
      <c r="G111" s="384">
        <f t="shared" si="744"/>
        <v>41414</v>
      </c>
      <c r="H111" s="370">
        <f t="shared" si="744"/>
        <v>41414</v>
      </c>
      <c r="I111" s="590"/>
      <c r="J111" s="47"/>
      <c r="K111" s="593"/>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90"/>
      <c r="AAD111" s="113"/>
      <c r="AAE111" s="554">
        <f t="shared" si="741"/>
        <v>1</v>
      </c>
      <c r="AAF111" s="113" t="s">
        <v>0</v>
      </c>
      <c r="AAG111" s="78">
        <f>H110</f>
        <v>41414</v>
      </c>
      <c r="AAH111" s="78">
        <f t="shared" si="761"/>
        <v>41414</v>
      </c>
      <c r="AAI111" s="63"/>
      <c r="AAJ111" s="56"/>
      <c r="AAK111" s="56"/>
      <c r="AAL111" s="56"/>
      <c r="AAM111" s="113"/>
      <c r="AAN111"/>
      <c r="AAT111" s="23"/>
      <c r="AAU111" s="44"/>
    </row>
    <row r="112" spans="1:732" ht="15" customHeight="1" outlineLevel="2">
      <c r="A112" s="560"/>
      <c r="B112" s="392" t="s">
        <v>227</v>
      </c>
      <c r="C112" s="391"/>
      <c r="D112" s="309" t="s">
        <v>57</v>
      </c>
      <c r="E112" s="369">
        <f t="shared" si="759"/>
        <v>1</v>
      </c>
      <c r="F112" s="494">
        <f t="shared" ca="1" si="760"/>
        <v>24</v>
      </c>
      <c r="G112" s="384">
        <f t="shared" si="744"/>
        <v>41414</v>
      </c>
      <c r="H112" s="370">
        <f t="shared" si="744"/>
        <v>41414</v>
      </c>
      <c r="I112" s="590"/>
      <c r="J112" s="47"/>
      <c r="K112" s="593"/>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90"/>
      <c r="AAD112" s="113"/>
      <c r="AAE112" s="554">
        <f t="shared" si="741"/>
        <v>1</v>
      </c>
      <c r="AAF112" s="113" t="s">
        <v>0</v>
      </c>
      <c r="AAG112" s="78">
        <f>H111</f>
        <v>41414</v>
      </c>
      <c r="AAH112" s="78">
        <f t="shared" si="761"/>
        <v>41414</v>
      </c>
      <c r="AAI112" s="63"/>
      <c r="AAJ112" s="56"/>
      <c r="AAK112" s="56"/>
      <c r="AAL112" s="56"/>
      <c r="AAM112" s="113"/>
      <c r="AAN112"/>
      <c r="AAT112" s="23"/>
      <c r="AAU112" s="44"/>
      <c r="AAV112" s="23"/>
      <c r="AAW112" s="23"/>
      <c r="AAX112" s="23"/>
      <c r="AAY112" s="23"/>
      <c r="AAZ112" s="23"/>
      <c r="ABA112" s="23"/>
      <c r="ABB112" s="23"/>
      <c r="ABC112" s="23"/>
      <c r="ABD112" s="23"/>
    </row>
    <row r="113" spans="1:732" ht="15" customHeight="1" outlineLevel="2">
      <c r="A113" s="560"/>
      <c r="B113" s="392" t="s">
        <v>227</v>
      </c>
      <c r="C113" s="391"/>
      <c r="D113" s="309" t="s">
        <v>57</v>
      </c>
      <c r="E113" s="369">
        <f t="shared" si="759"/>
        <v>1</v>
      </c>
      <c r="F113" s="494">
        <f t="shared" ca="1" si="760"/>
        <v>24</v>
      </c>
      <c r="G113" s="384">
        <f t="shared" si="744"/>
        <v>41414</v>
      </c>
      <c r="H113" s="370">
        <f t="shared" si="744"/>
        <v>41414</v>
      </c>
      <c r="I113" s="590"/>
      <c r="J113" s="47"/>
      <c r="K113" s="593"/>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90"/>
      <c r="AAD113" s="113"/>
      <c r="AAE113" s="554">
        <f t="shared" si="741"/>
        <v>1</v>
      </c>
      <c r="AAF113" s="113" t="s">
        <v>0</v>
      </c>
      <c r="AAG113" s="78">
        <f t="shared" ref="AAG113:AAG118" si="762">H112</f>
        <v>41414</v>
      </c>
      <c r="AAH113" s="78">
        <f t="shared" si="761"/>
        <v>41414</v>
      </c>
      <c r="AAI113" s="63"/>
      <c r="AAJ113" s="56"/>
      <c r="AAK113" s="56"/>
      <c r="AAL113" s="56"/>
      <c r="AAM113" s="113"/>
      <c r="AAN113"/>
      <c r="AAT113" s="23"/>
      <c r="AAU113" s="44"/>
    </row>
    <row r="114" spans="1:732" s="23" customFormat="1" ht="15" customHeight="1" outlineLevel="2">
      <c r="A114" s="560"/>
      <c r="B114" s="393" t="s">
        <v>217</v>
      </c>
      <c r="C114" s="715"/>
      <c r="D114" s="399"/>
      <c r="E114" s="403"/>
      <c r="F114" s="403"/>
      <c r="G114" s="403"/>
      <c r="H114" s="403"/>
      <c r="I114" s="590"/>
      <c r="J114" s="47"/>
      <c r="K114" s="593"/>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619"/>
      <c r="ZZ114" s="624"/>
      <c r="AAA114" s="590"/>
      <c r="AAB114"/>
      <c r="AAC114"/>
      <c r="AAD114" s="113"/>
      <c r="AAE114" s="554">
        <f t="shared" si="741"/>
        <v>1</v>
      </c>
      <c r="AAF114" s="585" t="s">
        <v>199</v>
      </c>
      <c r="AAG114" s="39"/>
      <c r="AAH114" s="39"/>
      <c r="AAI114" s="39"/>
      <c r="AAJ114" s="56"/>
      <c r="AAK114" s="56"/>
      <c r="AAL114" s="56"/>
      <c r="AAM114" s="113"/>
      <c r="AAU114" s="44"/>
    </row>
    <row r="115" spans="1:732" ht="15" customHeight="1" outlineLevel="2">
      <c r="A115" s="560"/>
      <c r="B115" s="394" t="str">
        <f ca="1">"Draft optional PRESENTATION."&amp;TEXT($G$106,"mm.dd.yy")&amp;""</f>
        <v>Draft optional PRESENTATION.04.17.13</v>
      </c>
      <c r="C115" s="232" t="s">
        <v>73</v>
      </c>
      <c r="D115" s="309" t="s">
        <v>57</v>
      </c>
      <c r="E115" s="369">
        <f t="shared" si="759"/>
        <v>1</v>
      </c>
      <c r="F115" s="494">
        <f t="shared" ca="1" si="760"/>
        <v>24</v>
      </c>
      <c r="G115" s="384">
        <f t="shared" si="744"/>
        <v>41414</v>
      </c>
      <c r="H115" s="370">
        <f t="shared" si="744"/>
        <v>41414</v>
      </c>
      <c r="I115" s="590"/>
      <c r="J115" s="47"/>
      <c r="K115" s="593"/>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50"/>
      <c r="ZZ115" s="50"/>
      <c r="AAA115" s="590"/>
      <c r="AAD115" s="113"/>
      <c r="AAE115" s="554">
        <f t="shared" si="741"/>
        <v>1</v>
      </c>
      <c r="AAF115" s="113" t="s">
        <v>0</v>
      </c>
      <c r="AAG115" s="78">
        <f>H113</f>
        <v>41414</v>
      </c>
      <c r="AAH115" s="78">
        <f t="shared" si="761"/>
        <v>41414</v>
      </c>
      <c r="AAI115" s="63"/>
      <c r="AAJ115" s="56"/>
      <c r="AAK115" s="56"/>
      <c r="AAL115" s="56"/>
      <c r="AAM115" s="113"/>
      <c r="AAN115"/>
      <c r="AAT115" s="23"/>
      <c r="AAU115" s="44"/>
    </row>
    <row r="116" spans="1:732" s="23" customFormat="1" ht="15" customHeight="1" outlineLevel="2">
      <c r="A116" s="560"/>
      <c r="B116" s="394" t="s">
        <v>231</v>
      </c>
      <c r="C116" s="391"/>
      <c r="D116" s="309" t="s">
        <v>57</v>
      </c>
      <c r="E116" s="369">
        <f t="shared" ref="E116" si="763">NETWORKDAYS(G116,H116,S.DDL_DEQClosed)</f>
        <v>1</v>
      </c>
      <c r="F116" s="494">
        <f t="shared" ref="F116" ca="1" si="764">NETWORKDAYS(TODAY(),H116)</f>
        <v>24</v>
      </c>
      <c r="G116" s="384">
        <f t="shared" ref="G116" si="765">AAG116</f>
        <v>41414</v>
      </c>
      <c r="H116" s="370">
        <f t="shared" ref="H116" si="766">AAH116</f>
        <v>41414</v>
      </c>
      <c r="I116" s="590"/>
      <c r="J116" s="47"/>
      <c r="K116" s="593"/>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90"/>
      <c r="AAB116"/>
      <c r="AAC116"/>
      <c r="AAD116" s="113"/>
      <c r="AAE116" s="554">
        <f t="shared" ref="AAE116:AAE147" si="767">IF(S.InvolveCommittee=TRUE,1,0)</f>
        <v>1</v>
      </c>
      <c r="AAF116" s="113" t="s">
        <v>0</v>
      </c>
      <c r="AAG116" s="78">
        <f t="shared" ref="AAG116" si="768">H115</f>
        <v>41414</v>
      </c>
      <c r="AAH116" s="78">
        <f t="shared" ref="AAH116" si="769">G116</f>
        <v>41414</v>
      </c>
      <c r="AAI116" s="63"/>
      <c r="AAJ116" s="56"/>
      <c r="AAK116" s="56"/>
      <c r="AAL116" s="56"/>
      <c r="AAM116" s="113"/>
      <c r="AAU116" s="44"/>
      <c r="AAV116"/>
      <c r="AAW116"/>
      <c r="AAX116"/>
      <c r="AAY116"/>
      <c r="AAZ116"/>
      <c r="ABA116"/>
      <c r="ABB116"/>
      <c r="ABC116"/>
      <c r="ABD116"/>
    </row>
    <row r="117" spans="1:732" ht="15" customHeight="1" outlineLevel="2">
      <c r="A117" s="560"/>
      <c r="B117" s="394" t="s">
        <v>225</v>
      </c>
      <c r="C117" s="391"/>
      <c r="D117" s="309" t="s">
        <v>57</v>
      </c>
      <c r="E117" s="369">
        <f t="shared" si="759"/>
        <v>1</v>
      </c>
      <c r="F117" s="494">
        <f t="shared" ca="1" si="760"/>
        <v>24</v>
      </c>
      <c r="G117" s="384">
        <f t="shared" si="744"/>
        <v>41414</v>
      </c>
      <c r="H117" s="370">
        <f t="shared" si="744"/>
        <v>41414</v>
      </c>
      <c r="I117" s="590"/>
      <c r="J117" s="47"/>
      <c r="K117" s="593"/>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90"/>
      <c r="AAD117" s="113"/>
      <c r="AAE117" s="554">
        <f t="shared" si="767"/>
        <v>1</v>
      </c>
      <c r="AAF117" s="113" t="s">
        <v>0</v>
      </c>
      <c r="AAG117" s="78">
        <f>H116</f>
        <v>41414</v>
      </c>
      <c r="AAH117" s="78">
        <f t="shared" si="761"/>
        <v>41414</v>
      </c>
      <c r="AAI117" s="63"/>
      <c r="AAJ117" s="56"/>
      <c r="AAK117" s="56"/>
      <c r="AAL117" s="56"/>
      <c r="AAM117" s="113"/>
      <c r="AAN117"/>
      <c r="AAT117" s="23"/>
      <c r="AAU117" s="44"/>
    </row>
    <row r="118" spans="1:732" ht="15" customHeight="1" outlineLevel="2">
      <c r="A118" s="560"/>
      <c r="B118" s="394" t="s">
        <v>226</v>
      </c>
      <c r="C118" s="391"/>
      <c r="D118" s="309" t="s">
        <v>57</v>
      </c>
      <c r="E118" s="369">
        <f t="shared" si="759"/>
        <v>1</v>
      </c>
      <c r="F118" s="494">
        <f t="shared" ca="1" si="760"/>
        <v>24</v>
      </c>
      <c r="G118" s="384">
        <f t="shared" si="744"/>
        <v>41414</v>
      </c>
      <c r="H118" s="370">
        <f t="shared" si="744"/>
        <v>41414</v>
      </c>
      <c r="I118" s="590"/>
      <c r="J118" s="47"/>
      <c r="K118" s="593"/>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90"/>
      <c r="AAD118" s="113"/>
      <c r="AAE118" s="554">
        <f t="shared" si="767"/>
        <v>1</v>
      </c>
      <c r="AAF118" s="113" t="s">
        <v>0</v>
      </c>
      <c r="AAG118" s="78">
        <f t="shared" si="762"/>
        <v>41414</v>
      </c>
      <c r="AAH118" s="78">
        <f t="shared" si="761"/>
        <v>41414</v>
      </c>
      <c r="AAI118" s="63"/>
      <c r="AAJ118" s="56"/>
      <c r="AAK118" s="56"/>
      <c r="AAL118" s="56"/>
      <c r="AAM118" s="113"/>
      <c r="AAN118"/>
      <c r="AAT118" s="23"/>
      <c r="AAU118" s="44"/>
    </row>
    <row r="119" spans="1:732" ht="15" customHeight="1" outlineLevel="2">
      <c r="A119" s="560"/>
      <c r="B119" s="395" t="s">
        <v>218</v>
      </c>
      <c r="C119" s="716"/>
      <c r="D119" s="387"/>
      <c r="E119" s="128"/>
      <c r="F119" s="128"/>
      <c r="G119" s="128"/>
      <c r="H119" s="128"/>
      <c r="I119" s="590"/>
      <c r="J119" s="47"/>
      <c r="K119" s="593"/>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619"/>
      <c r="ZZ119" s="624"/>
      <c r="AAA119" s="590"/>
      <c r="AAD119" s="113"/>
      <c r="AAE119" s="554">
        <f t="shared" si="767"/>
        <v>1</v>
      </c>
      <c r="AAF119" s="585" t="s">
        <v>199</v>
      </c>
      <c r="AAG119" s="39"/>
      <c r="AAH119" s="39"/>
      <c r="AAI119" s="39"/>
      <c r="AAJ119" s="56"/>
      <c r="AAK119" s="56"/>
      <c r="AAL119" s="56"/>
      <c r="AAM119" s="113"/>
      <c r="AAN119"/>
      <c r="AAT119" s="23"/>
      <c r="AAU119" s="44"/>
    </row>
    <row r="120" spans="1:732" ht="15" customHeight="1" outlineLevel="2">
      <c r="A120" s="560"/>
      <c r="B120" s="378" t="str">
        <f ca="1">"Draft COMMITTEE.NOTICE."&amp;TEXT($G$106,"mm.dd.yy")&amp;""</f>
        <v>Draft COMMITTEE.NOTICE.04.17.13</v>
      </c>
      <c r="C120" s="391"/>
      <c r="D120" s="309" t="s">
        <v>161</v>
      </c>
      <c r="E120" s="369">
        <f t="shared" si="759"/>
        <v>1</v>
      </c>
      <c r="F120" s="494">
        <f t="shared" ca="1" si="760"/>
        <v>24</v>
      </c>
      <c r="G120" s="384">
        <f t="shared" si="744"/>
        <v>41414</v>
      </c>
      <c r="H120" s="370">
        <f t="shared" si="744"/>
        <v>41414</v>
      </c>
      <c r="I120" s="590"/>
      <c r="J120" s="47"/>
      <c r="K120" s="593"/>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50"/>
      <c r="ZZ120" s="50"/>
      <c r="AAA120" s="590"/>
      <c r="AAD120" s="113"/>
      <c r="AAE120" s="554">
        <f t="shared" si="767"/>
        <v>1</v>
      </c>
      <c r="AAF120" s="113" t="s">
        <v>0</v>
      </c>
      <c r="AAG120" s="78">
        <f>H118</f>
        <v>41414</v>
      </c>
      <c r="AAH120" s="78">
        <f t="shared" si="761"/>
        <v>41414</v>
      </c>
      <c r="AAI120" s="77"/>
      <c r="AAJ120" s="77"/>
      <c r="AAK120" s="77"/>
      <c r="AAL120" s="89" t="str">
        <f>"Draft "&amp;S.CodeName&amp;"COMMITTEE.NOTICE.mm.dd.yyyy.2.00"</f>
        <v>Draft COMMITTEE.NOTICE.mm.dd.yyyy.2.00</v>
      </c>
      <c r="AAM120" s="113"/>
      <c r="AAN120"/>
      <c r="AAT120" s="23"/>
      <c r="AAU120" s="44"/>
    </row>
    <row r="121" spans="1:732" ht="15" customHeight="1" outlineLevel="2">
      <c r="A121" s="560"/>
      <c r="B121" s="396" t="s">
        <v>23</v>
      </c>
      <c r="C121" s="397"/>
      <c r="D121" s="198"/>
      <c r="E121" s="346"/>
      <c r="F121" s="367"/>
      <c r="G121" s="404" t="s">
        <v>0</v>
      </c>
      <c r="H121" s="402"/>
      <c r="I121" s="590"/>
      <c r="J121" s="47"/>
      <c r="K121" s="593"/>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619"/>
      <c r="ZZ121" s="624"/>
      <c r="AAA121" s="590"/>
      <c r="AAD121" s="113"/>
      <c r="AAE121" s="554">
        <f t="shared" si="767"/>
        <v>1</v>
      </c>
      <c r="AAF121" s="585" t="s">
        <v>199</v>
      </c>
      <c r="AAG121" s="63"/>
      <c r="AAH121" s="76" t="s">
        <v>0</v>
      </c>
      <c r="AAI121" s="77"/>
      <c r="AAJ121" s="77"/>
      <c r="AAK121" s="77"/>
      <c r="AAL121" s="56"/>
      <c r="AAM121" s="113"/>
      <c r="AAN121"/>
      <c r="AAT121" s="23"/>
      <c r="AAU121" s="44"/>
    </row>
    <row r="122" spans="1:732" ht="15" customHeight="1" outlineLevel="2">
      <c r="A122" s="560"/>
      <c r="B122" s="388" t="s">
        <v>230</v>
      </c>
      <c r="C122" s="348"/>
      <c r="D122" s="309" t="s">
        <v>176</v>
      </c>
      <c r="E122" s="369">
        <f>NETWORKDAYS(G122,H122,S.DDL_DEQClosed)</f>
        <v>1</v>
      </c>
      <c r="F122" s="494">
        <f ca="1">NETWORKDAYS(TODAY(),H122)</f>
        <v>24</v>
      </c>
      <c r="G122" s="384">
        <f>AAG122</f>
        <v>41414</v>
      </c>
      <c r="H122" s="370">
        <f>AAH122</f>
        <v>41414</v>
      </c>
      <c r="I122" s="590"/>
      <c r="J122" s="47"/>
      <c r="K122" s="593"/>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50"/>
      <c r="ZZ122" s="50"/>
      <c r="AAA122" s="590"/>
      <c r="AAD122" s="113"/>
      <c r="AAE122" s="554">
        <f t="shared" si="767"/>
        <v>1</v>
      </c>
      <c r="AAF122" s="113"/>
      <c r="AAG122" s="78">
        <f>H120</f>
        <v>41414</v>
      </c>
      <c r="AAH122" s="78">
        <f>G122</f>
        <v>41414</v>
      </c>
      <c r="AAI122" s="77"/>
      <c r="AAJ122" s="77"/>
      <c r="AAK122" s="77"/>
      <c r="AAL122" s="56"/>
      <c r="AAM122" s="113"/>
      <c r="AAN122"/>
      <c r="AAT122" s="23"/>
      <c r="AAU122" s="44"/>
    </row>
    <row r="123" spans="1:732" ht="15" customHeight="1" outlineLevel="2">
      <c r="A123" s="560"/>
      <c r="B123" s="244" t="s">
        <v>56</v>
      </c>
      <c r="C123" s="169"/>
      <c r="D123" s="309" t="s">
        <v>167</v>
      </c>
      <c r="E123" s="369">
        <f t="shared" ref="E123:E125" si="770">NETWORKDAYS(G123,H123,S.DDL_DEQClosed)</f>
        <v>1</v>
      </c>
      <c r="F123" s="494">
        <f t="shared" ref="F123:F125" ca="1" si="771">NETWORKDAYS(TODAY(),H123)</f>
        <v>24</v>
      </c>
      <c r="G123" s="384">
        <f t="shared" si="744"/>
        <v>41414</v>
      </c>
      <c r="H123" s="370">
        <f t="shared" si="744"/>
        <v>41414</v>
      </c>
      <c r="I123" s="590"/>
      <c r="J123" s="47"/>
      <c r="K123" s="593"/>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90"/>
      <c r="AAD123" s="113"/>
      <c r="AAE123" s="554">
        <f t="shared" si="767"/>
        <v>1</v>
      </c>
      <c r="AAF123" s="113"/>
      <c r="AAG123" s="78">
        <f>H122</f>
        <v>41414</v>
      </c>
      <c r="AAH123" s="78">
        <f t="shared" ref="AAH123:AAH125" si="772">G123</f>
        <v>41414</v>
      </c>
      <c r="AAI123" s="77"/>
      <c r="AAJ123" s="77"/>
      <c r="AAK123" s="77"/>
      <c r="AAL123" s="56"/>
      <c r="AAM123" s="113"/>
      <c r="AAN123"/>
      <c r="AAT123" s="23"/>
      <c r="AAU123" s="44"/>
    </row>
    <row r="124" spans="1:732" ht="15" customHeight="1" outlineLevel="2">
      <c r="A124" s="560"/>
      <c r="B124" s="248" t="str">
        <f ca="1">"Draft MINUTES."&amp;TEXT($G$106,"mm.dd.yy")&amp;""</f>
        <v>Draft MINUTES.04.17.13</v>
      </c>
      <c r="C124" s="232" t="s">
        <v>73</v>
      </c>
      <c r="D124" s="279" t="s">
        <v>161</v>
      </c>
      <c r="E124" s="369">
        <f t="shared" si="770"/>
        <v>1</v>
      </c>
      <c r="F124" s="494">
        <f t="shared" ca="1" si="771"/>
        <v>24</v>
      </c>
      <c r="G124" s="384">
        <f t="shared" si="744"/>
        <v>41414</v>
      </c>
      <c r="H124" s="370">
        <f t="shared" si="744"/>
        <v>41414</v>
      </c>
      <c r="I124" s="590"/>
      <c r="J124" s="47"/>
      <c r="K124" s="593"/>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90"/>
      <c r="AAD124" s="113"/>
      <c r="AAE124" s="554">
        <f t="shared" si="767"/>
        <v>1</v>
      </c>
      <c r="AAF124" s="113"/>
      <c r="AAG124" s="78">
        <f t="shared" ref="AAG124:AAG125" si="773">H123</f>
        <v>41414</v>
      </c>
      <c r="AAH124" s="78">
        <f t="shared" si="772"/>
        <v>41414</v>
      </c>
      <c r="AAI124" s="77"/>
      <c r="AAJ124" s="77"/>
      <c r="AAK124" s="77"/>
      <c r="AAL124" s="89" t="str">
        <f>"Draft "&amp;S.CodeName&amp;"MINUTES.mm.dd.yyy.2.00"</f>
        <v>Draft MINUTES.mm.dd.yyy.2.00</v>
      </c>
      <c r="AAM124" s="113"/>
      <c r="AAN124"/>
      <c r="AAT124" s="23"/>
      <c r="AAU124" s="44"/>
      <c r="AAV124" s="23"/>
      <c r="AAW124" s="23"/>
      <c r="AAX124" s="23"/>
      <c r="AAY124" s="23"/>
      <c r="AAZ124" s="23"/>
      <c r="ABA124" s="23"/>
      <c r="ABB124" s="23"/>
      <c r="ABC124" s="23"/>
      <c r="ABD124" s="23"/>
    </row>
    <row r="125" spans="1:732" ht="15" customHeight="1" outlineLevel="2">
      <c r="A125" s="560"/>
      <c r="B125" s="244" t="s">
        <v>55</v>
      </c>
      <c r="C125" s="169"/>
      <c r="D125" s="309" t="s">
        <v>167</v>
      </c>
      <c r="E125" s="369">
        <f t="shared" si="770"/>
        <v>1</v>
      </c>
      <c r="F125" s="494">
        <f t="shared" ca="1" si="771"/>
        <v>24</v>
      </c>
      <c r="G125" s="384">
        <f t="shared" si="744"/>
        <v>41414</v>
      </c>
      <c r="H125" s="370">
        <f t="shared" si="744"/>
        <v>41414</v>
      </c>
      <c r="I125" s="590"/>
      <c r="J125" s="47"/>
      <c r="K125" s="593"/>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90"/>
      <c r="AAD125" s="113"/>
      <c r="AAE125" s="554">
        <f t="shared" si="767"/>
        <v>1</v>
      </c>
      <c r="AAF125" s="113"/>
      <c r="AAG125" s="78">
        <f t="shared" si="773"/>
        <v>41414</v>
      </c>
      <c r="AAH125" s="78">
        <f t="shared" si="772"/>
        <v>41414</v>
      </c>
      <c r="AAI125" s="77"/>
      <c r="AAJ125" s="77"/>
      <c r="AAK125" s="77"/>
      <c r="AAL125" s="56"/>
      <c r="AAM125" s="113"/>
      <c r="AAN125"/>
      <c r="AAT125" s="23"/>
      <c r="AAU125" s="44"/>
      <c r="AAV125" s="23"/>
      <c r="AAW125" s="23"/>
      <c r="AAX125" s="23"/>
      <c r="AAY125" s="23"/>
      <c r="AAZ125" s="23"/>
      <c r="ABA125" s="23"/>
      <c r="ABB125" s="23"/>
      <c r="ABC125" s="23"/>
      <c r="ABD125" s="23"/>
    </row>
    <row r="126" spans="1:732" s="23" customFormat="1" ht="18" customHeight="1" outlineLevel="1">
      <c r="A126" s="560"/>
      <c r="B126" s="245" t="s">
        <v>61</v>
      </c>
      <c r="C126" s="169"/>
      <c r="D126" s="762"/>
      <c r="E126" s="762"/>
      <c r="F126" s="762"/>
      <c r="G126" s="400">
        <f ca="1">TODAY()</f>
        <v>41381</v>
      </c>
      <c r="H126" s="400" t="s">
        <v>220</v>
      </c>
      <c r="I126" s="590"/>
      <c r="J126" s="47"/>
      <c r="K126" s="593"/>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619"/>
      <c r="ZZ126" s="624"/>
      <c r="AAA126" s="590"/>
      <c r="AAB126"/>
      <c r="AAC126"/>
      <c r="AAD126" s="113"/>
      <c r="AAE126" s="554">
        <f t="shared" si="767"/>
        <v>1</v>
      </c>
      <c r="AAF126" s="585" t="s">
        <v>199</v>
      </c>
      <c r="AAG126" s="39" t="s">
        <v>0</v>
      </c>
      <c r="AAH126" s="39" t="s">
        <v>0</v>
      </c>
      <c r="AAI126" s="39"/>
      <c r="AAJ126" s="56"/>
      <c r="AAK126" s="56"/>
      <c r="AAL126" s="56"/>
      <c r="AAM126" s="113"/>
      <c r="AAU126" s="44"/>
    </row>
    <row r="127" spans="1:732" s="23" customFormat="1" ht="15" hidden="1" customHeight="1" outlineLevel="2">
      <c r="A127" s="560"/>
      <c r="B127" s="376" t="s">
        <v>59</v>
      </c>
      <c r="C127" s="169"/>
      <c r="D127" s="309" t="s">
        <v>167</v>
      </c>
      <c r="E127" s="369">
        <f t="shared" ref="E127" si="774">NETWORKDAYS(G127,H127,S.DDL_DEQClosed)</f>
        <v>1</v>
      </c>
      <c r="F127" s="494">
        <f t="shared" ref="F127" ca="1" si="775">NETWORKDAYS(TODAY(),H127)</f>
        <v>24</v>
      </c>
      <c r="G127" s="384">
        <f t="shared" ref="G127" si="776">AAG127</f>
        <v>41414</v>
      </c>
      <c r="H127" s="370">
        <f t="shared" ref="H127" si="777">AAH127</f>
        <v>41414</v>
      </c>
      <c r="I127" s="590"/>
      <c r="J127" s="47"/>
      <c r="K127" s="593"/>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50"/>
      <c r="ZZ127" s="50"/>
      <c r="AAA127" s="590"/>
      <c r="AAB127"/>
      <c r="AAC127"/>
      <c r="AAD127" s="113"/>
      <c r="AAE127" s="554">
        <f t="shared" si="767"/>
        <v>1</v>
      </c>
      <c r="AAF127" s="113"/>
      <c r="AAG127" s="78">
        <f>H124</f>
        <v>41414</v>
      </c>
      <c r="AAH127" s="78">
        <f t="shared" ref="AAH127" si="778">G127</f>
        <v>41414</v>
      </c>
      <c r="AAI127" s="77"/>
      <c r="AAJ127" s="77"/>
      <c r="AAK127" s="77"/>
      <c r="AAL127" s="56"/>
      <c r="AAM127" s="113"/>
      <c r="AAU127" s="44"/>
    </row>
    <row r="128" spans="1:732" s="23" customFormat="1" ht="15" hidden="1" customHeight="1" outlineLevel="2">
      <c r="A128" s="560"/>
      <c r="B128" s="377" t="s">
        <v>58</v>
      </c>
      <c r="C128" s="167"/>
      <c r="D128" s="398"/>
      <c r="E128" s="505"/>
      <c r="F128" s="505"/>
      <c r="G128" s="504"/>
      <c r="H128" s="506"/>
      <c r="I128" s="590"/>
      <c r="J128" s="47"/>
      <c r="K128" s="593"/>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619"/>
      <c r="ZZ128" s="624"/>
      <c r="AAA128" s="590"/>
      <c r="AAB128"/>
      <c r="AAC128"/>
      <c r="AAD128" s="113"/>
      <c r="AAE128" s="554">
        <f t="shared" si="767"/>
        <v>1</v>
      </c>
      <c r="AAF128" s="585" t="s">
        <v>199</v>
      </c>
      <c r="AAG128" s="63"/>
      <c r="AAH128" s="76"/>
      <c r="AAI128" s="77"/>
      <c r="AAJ128" s="77"/>
      <c r="AAK128" s="77"/>
      <c r="AAL128" s="56"/>
      <c r="AAM128" s="113"/>
      <c r="AAU128" s="44"/>
    </row>
    <row r="129" spans="1:723" s="23" customFormat="1" ht="15" hidden="1" customHeight="1" outlineLevel="2">
      <c r="A129" s="560"/>
      <c r="B129" s="378" t="str">
        <f ca="1">"Draft AGENDA."&amp;TEXT($G$126,"mm.dd.yy")&amp;""</f>
        <v>Draft AGENDA.04.17.13</v>
      </c>
      <c r="C129" s="232" t="s">
        <v>73</v>
      </c>
      <c r="D129" s="309" t="s">
        <v>57</v>
      </c>
      <c r="E129" s="369">
        <f t="shared" ref="E129:E133" si="779">NETWORKDAYS(G129,H129,S.DDL_DEQClosed)</f>
        <v>1</v>
      </c>
      <c r="F129" s="494">
        <f t="shared" ref="F129:F133" ca="1" si="780">NETWORKDAYS(TODAY(),H129)</f>
        <v>24</v>
      </c>
      <c r="G129" s="384">
        <f t="shared" ref="G129:G133" si="781">AAG129</f>
        <v>41414</v>
      </c>
      <c r="H129" s="370">
        <f t="shared" ref="H129:H133" si="782">AAH129</f>
        <v>41414</v>
      </c>
      <c r="I129" s="590"/>
      <c r="J129" s="47"/>
      <c r="K129" s="593"/>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50"/>
      <c r="ZZ129" s="50"/>
      <c r="AAA129" s="590"/>
      <c r="AAB129"/>
      <c r="AAC129"/>
      <c r="AAD129" s="113"/>
      <c r="AAE129" s="554">
        <f t="shared" si="767"/>
        <v>1</v>
      </c>
      <c r="AAF129" s="113" t="s">
        <v>0</v>
      </c>
      <c r="AAG129" s="78">
        <f>H127</f>
        <v>41414</v>
      </c>
      <c r="AAH129" s="78">
        <f>G129</f>
        <v>41414</v>
      </c>
      <c r="AAI129" s="77"/>
      <c r="AAJ129" s="77"/>
      <c r="AAK129" s="77"/>
      <c r="AAL129" s="89" t="str">
        <f>"Draft "&amp;S.CodeName&amp;"AGENDA.mm.dd.yyyy.2.00"</f>
        <v>Draft AGENDA.mm.dd.yyyy.2.00</v>
      </c>
      <c r="AAM129" s="113"/>
      <c r="AAU129" s="44"/>
    </row>
    <row r="130" spans="1:723" s="23" customFormat="1" ht="15" hidden="1" customHeight="1" outlineLevel="2">
      <c r="A130" s="560"/>
      <c r="B130" s="392" t="s">
        <v>227</v>
      </c>
      <c r="C130" s="240"/>
      <c r="D130" s="309" t="s">
        <v>57</v>
      </c>
      <c r="E130" s="369">
        <f t="shared" si="779"/>
        <v>1</v>
      </c>
      <c r="F130" s="494">
        <f t="shared" ca="1" si="780"/>
        <v>24</v>
      </c>
      <c r="G130" s="384">
        <f t="shared" si="781"/>
        <v>41414</v>
      </c>
      <c r="H130" s="370">
        <f t="shared" si="782"/>
        <v>41414</v>
      </c>
      <c r="I130" s="590"/>
      <c r="J130" s="47"/>
      <c r="K130" s="593"/>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90"/>
      <c r="AAB130"/>
      <c r="AAC130"/>
      <c r="AAD130" s="113"/>
      <c r="AAE130" s="554">
        <f t="shared" si="767"/>
        <v>1</v>
      </c>
      <c r="AAF130" s="113" t="s">
        <v>0</v>
      </c>
      <c r="AAG130" s="78">
        <f>H129</f>
        <v>41414</v>
      </c>
      <c r="AAH130" s="78">
        <f t="shared" ref="AAH130:AAH133" si="783">G130</f>
        <v>41414</v>
      </c>
      <c r="AAI130" s="77"/>
      <c r="AAJ130" s="77"/>
      <c r="AAK130" s="77"/>
      <c r="AAL130" s="56"/>
      <c r="AAM130" s="113"/>
      <c r="AAU130" s="44"/>
    </row>
    <row r="131" spans="1:723" s="23" customFormat="1" ht="15" hidden="1" customHeight="1" outlineLevel="2">
      <c r="A131" s="560"/>
      <c r="B131" s="392" t="s">
        <v>227</v>
      </c>
      <c r="C131" s="240"/>
      <c r="D131" s="309" t="s">
        <v>57</v>
      </c>
      <c r="E131" s="369">
        <f t="shared" si="779"/>
        <v>1</v>
      </c>
      <c r="F131" s="494">
        <f t="shared" ca="1" si="780"/>
        <v>24</v>
      </c>
      <c r="G131" s="384">
        <f t="shared" si="781"/>
        <v>41414</v>
      </c>
      <c r="H131" s="370">
        <f t="shared" si="782"/>
        <v>41414</v>
      </c>
      <c r="I131" s="590"/>
      <c r="J131" s="47"/>
      <c r="K131" s="593"/>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90"/>
      <c r="AAB131"/>
      <c r="AAC131"/>
      <c r="AAD131" s="113"/>
      <c r="AAE131" s="554">
        <f t="shared" si="767"/>
        <v>1</v>
      </c>
      <c r="AAF131" s="113" t="s">
        <v>0</v>
      </c>
      <c r="AAG131" s="78">
        <f>H130</f>
        <v>41414</v>
      </c>
      <c r="AAH131" s="78">
        <f t="shared" si="783"/>
        <v>41414</v>
      </c>
      <c r="AAI131" s="77"/>
      <c r="AAJ131" s="77"/>
      <c r="AAK131" s="77"/>
      <c r="AAL131" s="56"/>
      <c r="AAM131" s="113"/>
      <c r="AAU131" s="44"/>
    </row>
    <row r="132" spans="1:723" s="23" customFormat="1" ht="15" hidden="1" customHeight="1" outlineLevel="2">
      <c r="A132" s="560"/>
      <c r="B132" s="392" t="s">
        <v>227</v>
      </c>
      <c r="C132" s="240"/>
      <c r="D132" s="309" t="s">
        <v>57</v>
      </c>
      <c r="E132" s="369">
        <f t="shared" si="779"/>
        <v>1</v>
      </c>
      <c r="F132" s="494">
        <f t="shared" ca="1" si="780"/>
        <v>24</v>
      </c>
      <c r="G132" s="384">
        <f t="shared" si="781"/>
        <v>41414</v>
      </c>
      <c r="H132" s="370">
        <f t="shared" si="782"/>
        <v>41414</v>
      </c>
      <c r="I132" s="590"/>
      <c r="J132" s="47"/>
      <c r="K132" s="593"/>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90"/>
      <c r="AAB132"/>
      <c r="AAC132"/>
      <c r="AAD132" s="113"/>
      <c r="AAE132" s="554">
        <f t="shared" si="767"/>
        <v>1</v>
      </c>
      <c r="AAF132" s="113" t="s">
        <v>0</v>
      </c>
      <c r="AAG132" s="78">
        <f>H131</f>
        <v>41414</v>
      </c>
      <c r="AAH132" s="78">
        <f t="shared" si="783"/>
        <v>41414</v>
      </c>
      <c r="AAI132" s="77"/>
      <c r="AAJ132" s="77"/>
      <c r="AAK132" s="77"/>
      <c r="AAL132" s="56"/>
      <c r="AAM132" s="113"/>
      <c r="AAU132" s="44"/>
    </row>
    <row r="133" spans="1:723" s="23" customFormat="1" ht="15" hidden="1" customHeight="1" outlineLevel="2">
      <c r="A133" s="560"/>
      <c r="B133" s="392" t="s">
        <v>227</v>
      </c>
      <c r="C133" s="240"/>
      <c r="D133" s="309" t="s">
        <v>57</v>
      </c>
      <c r="E133" s="369">
        <f t="shared" si="779"/>
        <v>1</v>
      </c>
      <c r="F133" s="494">
        <f t="shared" ca="1" si="780"/>
        <v>24</v>
      </c>
      <c r="G133" s="384">
        <f t="shared" si="781"/>
        <v>41414</v>
      </c>
      <c r="H133" s="370">
        <f t="shared" si="782"/>
        <v>41414</v>
      </c>
      <c r="I133" s="590"/>
      <c r="J133" s="47"/>
      <c r="K133" s="593"/>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90"/>
      <c r="AAB133"/>
      <c r="AAC133"/>
      <c r="AAD133" s="113"/>
      <c r="AAE133" s="554">
        <f t="shared" si="767"/>
        <v>1</v>
      </c>
      <c r="AAF133" s="113" t="s">
        <v>0</v>
      </c>
      <c r="AAG133" s="78">
        <f t="shared" ref="AAG133" si="784">H132</f>
        <v>41414</v>
      </c>
      <c r="AAH133" s="78">
        <f t="shared" si="783"/>
        <v>41414</v>
      </c>
      <c r="AAI133" s="77"/>
      <c r="AAJ133" s="77"/>
      <c r="AAK133" s="77"/>
      <c r="AAL133" s="56"/>
      <c r="AAM133" s="113"/>
      <c r="AAU133" s="44"/>
    </row>
    <row r="134" spans="1:723" s="23" customFormat="1" ht="15" hidden="1" customHeight="1" outlineLevel="2">
      <c r="A134" s="560"/>
      <c r="B134" s="393" t="s">
        <v>217</v>
      </c>
      <c r="C134" s="717"/>
      <c r="D134" s="399"/>
      <c r="E134" s="403"/>
      <c r="F134" s="403"/>
      <c r="G134" s="403"/>
      <c r="H134" s="403"/>
      <c r="I134" s="590"/>
      <c r="J134" s="47"/>
      <c r="K134" s="593"/>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619"/>
      <c r="ZZ134" s="624"/>
      <c r="AAA134" s="590"/>
      <c r="AAB134"/>
      <c r="AAC134"/>
      <c r="AAD134" s="113"/>
      <c r="AAE134" s="554">
        <f t="shared" si="767"/>
        <v>1</v>
      </c>
      <c r="AAF134" s="585" t="s">
        <v>199</v>
      </c>
      <c r="AAG134" s="39"/>
      <c r="AAH134" s="39"/>
      <c r="AAI134" s="77"/>
      <c r="AAJ134" s="77"/>
      <c r="AAK134" s="77"/>
      <c r="AAL134" s="56"/>
      <c r="AAM134" s="113"/>
      <c r="AAU134" s="44"/>
    </row>
    <row r="135" spans="1:723" s="23" customFormat="1" ht="15" hidden="1" customHeight="1" outlineLevel="2">
      <c r="A135" s="560"/>
      <c r="B135" s="394" t="str">
        <f ca="1">"Draft optional PRESENTATION."&amp;TEXT($G$126,"mm.dd.yy")&amp;""</f>
        <v>Draft optional PRESENTATION.04.17.13</v>
      </c>
      <c r="C135" s="232" t="s">
        <v>73</v>
      </c>
      <c r="D135" s="309" t="s">
        <v>57</v>
      </c>
      <c r="E135" s="369">
        <f t="shared" ref="E135:E138" si="785">NETWORKDAYS(G135,H135,S.DDL_DEQClosed)</f>
        <v>1</v>
      </c>
      <c r="F135" s="494">
        <f t="shared" ref="F135:F138" ca="1" si="786">NETWORKDAYS(TODAY(),H135)</f>
        <v>24</v>
      </c>
      <c r="G135" s="384">
        <f t="shared" ref="G135:G138" si="787">AAG135</f>
        <v>41414</v>
      </c>
      <c r="H135" s="370">
        <f t="shared" ref="H135:H138" si="788">AAH135</f>
        <v>41414</v>
      </c>
      <c r="I135" s="590"/>
      <c r="J135" s="47"/>
      <c r="K135" s="593"/>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50"/>
      <c r="ZZ135" s="50"/>
      <c r="AAA135" s="590"/>
      <c r="AAB135"/>
      <c r="AAC135"/>
      <c r="AAD135" s="113"/>
      <c r="AAE135" s="554">
        <f t="shared" si="767"/>
        <v>1</v>
      </c>
      <c r="AAF135" s="113" t="s">
        <v>0</v>
      </c>
      <c r="AAG135" s="78">
        <f>H133</f>
        <v>41414</v>
      </c>
      <c r="AAH135" s="78">
        <f t="shared" ref="AAH135:AAH138" si="789">G135</f>
        <v>41414</v>
      </c>
      <c r="AAI135" s="77"/>
      <c r="AAJ135" s="77"/>
      <c r="AAK135" s="77"/>
      <c r="AAL135" s="56"/>
      <c r="AAM135" s="113"/>
      <c r="AAU135" s="44"/>
    </row>
    <row r="136" spans="1:723" s="23" customFormat="1" ht="15" hidden="1" customHeight="1" outlineLevel="2">
      <c r="A136" s="560"/>
      <c r="B136" s="394" t="s">
        <v>231</v>
      </c>
      <c r="C136" s="240"/>
      <c r="D136" s="309" t="s">
        <v>57</v>
      </c>
      <c r="E136" s="369">
        <f t="shared" si="785"/>
        <v>1</v>
      </c>
      <c r="F136" s="494">
        <f t="shared" ca="1" si="786"/>
        <v>24</v>
      </c>
      <c r="G136" s="384">
        <f t="shared" si="787"/>
        <v>41414</v>
      </c>
      <c r="H136" s="370">
        <f t="shared" si="788"/>
        <v>41414</v>
      </c>
      <c r="I136" s="590"/>
      <c r="J136" s="47"/>
      <c r="K136" s="593"/>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90"/>
      <c r="AAB136"/>
      <c r="AAC136"/>
      <c r="AAD136" s="113"/>
      <c r="AAE136" s="554">
        <f t="shared" si="767"/>
        <v>1</v>
      </c>
      <c r="AAF136" s="113" t="s">
        <v>0</v>
      </c>
      <c r="AAG136" s="78">
        <f t="shared" ref="AAG136" si="790">H135</f>
        <v>41414</v>
      </c>
      <c r="AAH136" s="78">
        <f t="shared" si="789"/>
        <v>41414</v>
      </c>
      <c r="AAI136" s="77"/>
      <c r="AAJ136" s="77"/>
      <c r="AAK136" s="77"/>
      <c r="AAL136" s="56"/>
      <c r="AAM136" s="113"/>
      <c r="AAU136" s="44"/>
    </row>
    <row r="137" spans="1:723" s="23" customFormat="1" ht="15" hidden="1" customHeight="1" outlineLevel="2">
      <c r="A137" s="560"/>
      <c r="B137" s="394" t="s">
        <v>225</v>
      </c>
      <c r="C137" s="240"/>
      <c r="D137" s="309" t="s">
        <v>57</v>
      </c>
      <c r="E137" s="369">
        <f t="shared" si="785"/>
        <v>1</v>
      </c>
      <c r="F137" s="494">
        <f t="shared" ca="1" si="786"/>
        <v>24</v>
      </c>
      <c r="G137" s="384">
        <f t="shared" si="787"/>
        <v>41414</v>
      </c>
      <c r="H137" s="370">
        <f t="shared" si="788"/>
        <v>41414</v>
      </c>
      <c r="I137" s="590"/>
      <c r="J137" s="47"/>
      <c r="K137" s="593"/>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90"/>
      <c r="AAB137"/>
      <c r="AAC137"/>
      <c r="AAD137" s="113"/>
      <c r="AAE137" s="554">
        <f t="shared" si="767"/>
        <v>1</v>
      </c>
      <c r="AAF137" s="113" t="s">
        <v>0</v>
      </c>
      <c r="AAG137" s="78">
        <f>H136</f>
        <v>41414</v>
      </c>
      <c r="AAH137" s="78">
        <f t="shared" si="789"/>
        <v>41414</v>
      </c>
      <c r="AAI137" s="77"/>
      <c r="AAJ137" s="77"/>
      <c r="AAK137" s="77"/>
      <c r="AAL137" s="56"/>
      <c r="AAM137" s="113"/>
      <c r="AAU137" s="44"/>
    </row>
    <row r="138" spans="1:723" s="23" customFormat="1" ht="15" hidden="1" customHeight="1" outlineLevel="2">
      <c r="A138" s="560"/>
      <c r="B138" s="394" t="s">
        <v>226</v>
      </c>
      <c r="C138" s="240"/>
      <c r="D138" s="309" t="s">
        <v>57</v>
      </c>
      <c r="E138" s="369">
        <f t="shared" si="785"/>
        <v>1</v>
      </c>
      <c r="F138" s="494">
        <f t="shared" ca="1" si="786"/>
        <v>24</v>
      </c>
      <c r="G138" s="384">
        <f t="shared" si="787"/>
        <v>41414</v>
      </c>
      <c r="H138" s="370">
        <f t="shared" si="788"/>
        <v>41414</v>
      </c>
      <c r="I138" s="590"/>
      <c r="J138" s="47"/>
      <c r="K138" s="593"/>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90"/>
      <c r="AAB138"/>
      <c r="AAC138"/>
      <c r="AAD138" s="113"/>
      <c r="AAE138" s="554">
        <f t="shared" si="767"/>
        <v>1</v>
      </c>
      <c r="AAF138" s="113" t="s">
        <v>0</v>
      </c>
      <c r="AAG138" s="78">
        <f t="shared" ref="AAG138" si="791">H137</f>
        <v>41414</v>
      </c>
      <c r="AAH138" s="78">
        <f t="shared" si="789"/>
        <v>41414</v>
      </c>
      <c r="AAI138" s="77"/>
      <c r="AAJ138" s="77"/>
      <c r="AAK138" s="77"/>
      <c r="AAL138" s="56"/>
      <c r="AAM138" s="113"/>
      <c r="AAU138" s="44"/>
    </row>
    <row r="139" spans="1:723" s="23" customFormat="1" ht="15" hidden="1" customHeight="1" outlineLevel="2">
      <c r="A139" s="560"/>
      <c r="B139" s="395" t="s">
        <v>218</v>
      </c>
      <c r="C139" s="718"/>
      <c r="D139" s="387"/>
      <c r="E139" s="128"/>
      <c r="F139" s="128"/>
      <c r="G139" s="128"/>
      <c r="H139" s="128"/>
      <c r="I139" s="590"/>
      <c r="J139" s="47"/>
      <c r="K139" s="593"/>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619"/>
      <c r="ZZ139" s="624"/>
      <c r="AAA139" s="590"/>
      <c r="AAB139"/>
      <c r="AAC139"/>
      <c r="AAD139" s="113"/>
      <c r="AAE139" s="554">
        <f t="shared" si="767"/>
        <v>1</v>
      </c>
      <c r="AAF139" s="585" t="s">
        <v>199</v>
      </c>
      <c r="AAG139" s="39"/>
      <c r="AAH139" s="39"/>
      <c r="AAI139" s="39"/>
      <c r="AAJ139" s="56"/>
      <c r="AAK139" s="56"/>
      <c r="AAL139" s="56"/>
      <c r="AAM139" s="113"/>
      <c r="AAU139" s="44"/>
    </row>
    <row r="140" spans="1:723" s="23" customFormat="1" ht="15" hidden="1" customHeight="1" outlineLevel="2">
      <c r="A140" s="560"/>
      <c r="B140" s="378" t="str">
        <f ca="1">"Draft COMMITTEE.NOTICE."&amp;TEXT($G$126,"mm.dd.yy")&amp;""</f>
        <v>Draft COMMITTEE.NOTICE.04.17.13</v>
      </c>
      <c r="C140" s="240"/>
      <c r="D140" s="309" t="s">
        <v>161</v>
      </c>
      <c r="E140" s="369">
        <f t="shared" ref="E140" si="792">NETWORKDAYS(G140,H140,S.DDL_DEQClosed)</f>
        <v>1</v>
      </c>
      <c r="F140" s="494">
        <f t="shared" ref="F140" ca="1" si="793">NETWORKDAYS(TODAY(),H140)</f>
        <v>24</v>
      </c>
      <c r="G140" s="384">
        <f t="shared" ref="G140" si="794">AAG140</f>
        <v>41414</v>
      </c>
      <c r="H140" s="370">
        <f t="shared" ref="H140" si="795">AAH140</f>
        <v>41414</v>
      </c>
      <c r="I140" s="590"/>
      <c r="J140" s="47"/>
      <c r="K140" s="593"/>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50"/>
      <c r="ZZ140" s="50"/>
      <c r="AAA140" s="590"/>
      <c r="AAB140"/>
      <c r="AAC140"/>
      <c r="AAD140" s="113"/>
      <c r="AAE140" s="554">
        <f t="shared" si="767"/>
        <v>1</v>
      </c>
      <c r="AAF140" s="113" t="s">
        <v>0</v>
      </c>
      <c r="AAG140" s="78">
        <f>H138</f>
        <v>41414</v>
      </c>
      <c r="AAH140" s="78">
        <f t="shared" ref="AAH140" si="796">G140</f>
        <v>41414</v>
      </c>
      <c r="AAI140" s="77"/>
      <c r="AAJ140" s="77"/>
      <c r="AAK140" s="77"/>
      <c r="AAL140" s="89" t="str">
        <f>"Draft "&amp;S.CodeName&amp;"COMMITTEE.NOTICE.mm.dd.yyyy.2.00"</f>
        <v>Draft COMMITTEE.NOTICE.mm.dd.yyyy.2.00</v>
      </c>
      <c r="AAM140" s="113"/>
      <c r="AAU140" s="44"/>
    </row>
    <row r="141" spans="1:723" s="23" customFormat="1" ht="15" hidden="1" customHeight="1" outlineLevel="2">
      <c r="A141" s="560"/>
      <c r="B141" s="396" t="s">
        <v>23</v>
      </c>
      <c r="C141" s="246"/>
      <c r="D141" s="198"/>
      <c r="E141" s="124"/>
      <c r="F141" s="125"/>
      <c r="G141" s="247" t="s">
        <v>0</v>
      </c>
      <c r="H141" s="146"/>
      <c r="I141" s="590"/>
      <c r="J141" s="47"/>
      <c r="K141" s="593"/>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619"/>
      <c r="ZZ141" s="624"/>
      <c r="AAA141" s="590"/>
      <c r="AAB141"/>
      <c r="AAC141"/>
      <c r="AAD141" s="113"/>
      <c r="AAE141" s="554">
        <f t="shared" si="767"/>
        <v>1</v>
      </c>
      <c r="AAF141" s="585" t="s">
        <v>199</v>
      </c>
      <c r="AAG141" s="63"/>
      <c r="AAH141" s="76" t="s">
        <v>0</v>
      </c>
      <c r="AAI141" s="77"/>
      <c r="AAJ141" s="77"/>
      <c r="AAK141" s="77"/>
      <c r="AAL141" s="56"/>
      <c r="AAM141" s="113"/>
      <c r="AAU141" s="44"/>
    </row>
    <row r="142" spans="1:723" s="23" customFormat="1" ht="15" hidden="1" customHeight="1" outlineLevel="2">
      <c r="A142" s="560"/>
      <c r="B142" s="388" t="s">
        <v>230</v>
      </c>
      <c r="C142" s="169"/>
      <c r="D142" s="309" t="s">
        <v>176</v>
      </c>
      <c r="E142" s="369">
        <f>NETWORKDAYS(G142,H142,S.DDL_DEQClosed)</f>
        <v>1</v>
      </c>
      <c r="F142" s="494">
        <f ca="1">NETWORKDAYS(TODAY(),H142)</f>
        <v>24</v>
      </c>
      <c r="G142" s="384">
        <f>AAG142</f>
        <v>41414</v>
      </c>
      <c r="H142" s="370">
        <f>AAH142</f>
        <v>41414</v>
      </c>
      <c r="I142" s="590"/>
      <c r="J142" s="47"/>
      <c r="K142" s="593"/>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50"/>
      <c r="ZZ142" s="50"/>
      <c r="AAA142" s="590"/>
      <c r="AAB142"/>
      <c r="AAC142"/>
      <c r="AAD142" s="113"/>
      <c r="AAE142" s="554">
        <f t="shared" si="767"/>
        <v>1</v>
      </c>
      <c r="AAF142" s="113"/>
      <c r="AAG142" s="78">
        <f>H140</f>
        <v>41414</v>
      </c>
      <c r="AAH142" s="78">
        <f>G142</f>
        <v>41414</v>
      </c>
      <c r="AAI142" s="77"/>
      <c r="AAJ142" s="77"/>
      <c r="AAK142" s="77"/>
      <c r="AAL142" s="56"/>
      <c r="AAM142" s="113"/>
      <c r="AAU142" s="44"/>
    </row>
    <row r="143" spans="1:723" s="23" customFormat="1" ht="15" hidden="1" customHeight="1" outlineLevel="2">
      <c r="A143" s="560"/>
      <c r="B143" s="388" t="s">
        <v>56</v>
      </c>
      <c r="C143" s="169"/>
      <c r="D143" s="309" t="s">
        <v>167</v>
      </c>
      <c r="E143" s="369">
        <f t="shared" ref="E143:E145" si="797">NETWORKDAYS(G143,H143,S.DDL_DEQClosed)</f>
        <v>1</v>
      </c>
      <c r="F143" s="494">
        <f t="shared" ref="F143:F145" ca="1" si="798">NETWORKDAYS(TODAY(),H143)</f>
        <v>24</v>
      </c>
      <c r="G143" s="384">
        <f t="shared" ref="G143:G145" si="799">AAG143</f>
        <v>41414</v>
      </c>
      <c r="H143" s="370">
        <f t="shared" ref="H143:H145" si="800">AAH143</f>
        <v>41414</v>
      </c>
      <c r="I143" s="590"/>
      <c r="J143" s="47"/>
      <c r="K143" s="593"/>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90"/>
      <c r="AAB143"/>
      <c r="AAC143"/>
      <c r="AAD143" s="113"/>
      <c r="AAE143" s="554">
        <f t="shared" si="767"/>
        <v>1</v>
      </c>
      <c r="AAF143" s="113"/>
      <c r="AAG143" s="78">
        <f>H142</f>
        <v>41414</v>
      </c>
      <c r="AAH143" s="78">
        <f t="shared" ref="AAH143:AAH145" si="801">G143</f>
        <v>41414</v>
      </c>
      <c r="AAI143" s="77"/>
      <c r="AAJ143" s="77"/>
      <c r="AAK143" s="77"/>
      <c r="AAL143" s="56"/>
      <c r="AAM143" s="113"/>
      <c r="AAU143" s="44"/>
    </row>
    <row r="144" spans="1:723" s="23" customFormat="1" ht="15" hidden="1" customHeight="1" outlineLevel="2">
      <c r="A144" s="560"/>
      <c r="B144" s="405" t="str">
        <f ca="1">"Draft MINUTES."&amp;TEXT($G$126,"mm.dd.yy")&amp;""</f>
        <v>Draft MINUTES.04.17.13</v>
      </c>
      <c r="C144" s="232" t="s">
        <v>73</v>
      </c>
      <c r="D144" s="279" t="s">
        <v>161</v>
      </c>
      <c r="E144" s="369">
        <f t="shared" si="797"/>
        <v>1</v>
      </c>
      <c r="F144" s="494">
        <f t="shared" ca="1" si="798"/>
        <v>24</v>
      </c>
      <c r="G144" s="384">
        <f t="shared" si="799"/>
        <v>41414</v>
      </c>
      <c r="H144" s="370">
        <f t="shared" si="800"/>
        <v>41414</v>
      </c>
      <c r="I144" s="590"/>
      <c r="J144" s="47"/>
      <c r="K144" s="593"/>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90"/>
      <c r="AAB144"/>
      <c r="AAC144"/>
      <c r="AAD144" s="113"/>
      <c r="AAE144" s="554">
        <f t="shared" si="767"/>
        <v>1</v>
      </c>
      <c r="AAF144" s="113"/>
      <c r="AAG144" s="78">
        <f t="shared" ref="AAG144:AAG145" si="802">H143</f>
        <v>41414</v>
      </c>
      <c r="AAH144" s="78">
        <f t="shared" si="801"/>
        <v>41414</v>
      </c>
      <c r="AAI144" s="77"/>
      <c r="AAJ144" s="77"/>
      <c r="AAK144" s="77"/>
      <c r="AAL144" s="89" t="str">
        <f>"Draft "&amp;S.CodeName&amp;"MINUTES.mm.dd.yyy.2.00"</f>
        <v>Draft MINUTES.mm.dd.yyy.2.00</v>
      </c>
      <c r="AAM144" s="113"/>
      <c r="AAU144" s="44"/>
    </row>
    <row r="145" spans="1:723" s="23" customFormat="1" ht="15" hidden="1" customHeight="1" outlineLevel="2">
      <c r="A145" s="560"/>
      <c r="B145" s="388" t="s">
        <v>55</v>
      </c>
      <c r="C145" s="169"/>
      <c r="D145" s="170" t="s">
        <v>167</v>
      </c>
      <c r="E145" s="369">
        <f t="shared" si="797"/>
        <v>1</v>
      </c>
      <c r="F145" s="494">
        <f t="shared" ca="1" si="798"/>
        <v>24</v>
      </c>
      <c r="G145" s="384">
        <f t="shared" si="799"/>
        <v>41414</v>
      </c>
      <c r="H145" s="370">
        <f t="shared" si="800"/>
        <v>41414</v>
      </c>
      <c r="I145" s="590"/>
      <c r="J145" s="47"/>
      <c r="K145" s="593"/>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90"/>
      <c r="AAB145"/>
      <c r="AAC145"/>
      <c r="AAD145" s="113"/>
      <c r="AAE145" s="554">
        <f t="shared" si="767"/>
        <v>1</v>
      </c>
      <c r="AAF145" s="113"/>
      <c r="AAG145" s="78">
        <f t="shared" si="802"/>
        <v>41414</v>
      </c>
      <c r="AAH145" s="78">
        <f t="shared" si="801"/>
        <v>41414</v>
      </c>
      <c r="AAI145" s="77"/>
      <c r="AAJ145" s="77"/>
      <c r="AAK145" s="77"/>
      <c r="AAL145" s="56"/>
      <c r="AAM145" s="113"/>
      <c r="AAU145" s="44"/>
    </row>
    <row r="146" spans="1:723" s="23" customFormat="1" ht="18" customHeight="1" outlineLevel="1" collapsed="1">
      <c r="A146" s="560"/>
      <c r="B146" s="245" t="s">
        <v>60</v>
      </c>
      <c r="C146" s="169"/>
      <c r="D146" s="762"/>
      <c r="E146" s="762"/>
      <c r="F146" s="762"/>
      <c r="G146" s="389">
        <f ca="1">TODAY()</f>
        <v>41381</v>
      </c>
      <c r="H146" s="389" t="s">
        <v>220</v>
      </c>
      <c r="I146" s="590"/>
      <c r="J146" s="47"/>
      <c r="K146" s="593"/>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619"/>
      <c r="ZZ146" s="624"/>
      <c r="AAA146" s="590"/>
      <c r="AAB146"/>
      <c r="AAC146"/>
      <c r="AAD146" s="113"/>
      <c r="AAE146" s="554">
        <f t="shared" si="767"/>
        <v>1</v>
      </c>
      <c r="AAF146" s="585" t="s">
        <v>199</v>
      </c>
      <c r="AAG146" s="39" t="s">
        <v>0</v>
      </c>
      <c r="AAH146" s="39" t="s">
        <v>0</v>
      </c>
      <c r="AAI146" s="77"/>
      <c r="AAJ146" s="77"/>
      <c r="AAK146" s="77"/>
      <c r="AAL146" s="56"/>
      <c r="AAM146" s="113"/>
      <c r="AAU146" s="44"/>
    </row>
    <row r="147" spans="1:723" s="23" customFormat="1" ht="15" hidden="1" customHeight="1" outlineLevel="2">
      <c r="A147" s="560"/>
      <c r="B147" s="239" t="s">
        <v>59</v>
      </c>
      <c r="C147" s="169"/>
      <c r="D147" s="170" t="s">
        <v>167</v>
      </c>
      <c r="E147" s="380">
        <f t="shared" ref="E147" si="803">NETWORKDAYS(G147,H147,S.DDL_DEQClosed)</f>
        <v>1</v>
      </c>
      <c r="F147" s="494">
        <f t="shared" ref="F147" ca="1" si="804">NETWORKDAYS(TODAY(),H147)</f>
        <v>24</v>
      </c>
      <c r="G147" s="382">
        <f t="shared" ref="G147" si="805">AAG147</f>
        <v>41414</v>
      </c>
      <c r="H147" s="383">
        <f t="shared" ref="H147" si="806">AAH147</f>
        <v>41414</v>
      </c>
      <c r="I147" s="590"/>
      <c r="J147" s="47"/>
      <c r="K147" s="593"/>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50"/>
      <c r="ZZ147" s="50"/>
      <c r="AAA147" s="590"/>
      <c r="AAB147"/>
      <c r="AAC147"/>
      <c r="AAD147" s="113"/>
      <c r="AAE147" s="554">
        <f t="shared" si="767"/>
        <v>1</v>
      </c>
      <c r="AAF147" s="113"/>
      <c r="AAG147" s="78">
        <f>H144</f>
        <v>41414</v>
      </c>
      <c r="AAH147" s="78">
        <f t="shared" ref="AAH147" si="807">G147</f>
        <v>41414</v>
      </c>
      <c r="AAI147" s="77"/>
      <c r="AAJ147" s="77"/>
      <c r="AAK147" s="77"/>
      <c r="AAL147" s="56"/>
      <c r="AAM147" s="113"/>
      <c r="AAU147" s="44"/>
    </row>
    <row r="148" spans="1:723" s="23" customFormat="1" ht="15" hidden="1" customHeight="1" outlineLevel="2">
      <c r="A148" s="560"/>
      <c r="B148" s="377" t="s">
        <v>58</v>
      </c>
      <c r="C148" s="167"/>
      <c r="D148" s="176"/>
      <c r="E148" s="161"/>
      <c r="F148" s="161"/>
      <c r="G148" s="162"/>
      <c r="H148" s="146"/>
      <c r="I148" s="590"/>
      <c r="J148" s="47"/>
      <c r="K148" s="593"/>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619"/>
      <c r="ZZ148" s="624"/>
      <c r="AAA148" s="590"/>
      <c r="AAB148"/>
      <c r="AAC148"/>
      <c r="AAD148" s="113"/>
      <c r="AAE148" s="554">
        <f t="shared" ref="AAE148:AAE179" si="808">IF(S.InvolveCommittee=TRUE,1,0)</f>
        <v>1</v>
      </c>
      <c r="AAF148" s="585" t="s">
        <v>199</v>
      </c>
      <c r="AAG148" s="63"/>
      <c r="AAH148" s="76"/>
      <c r="AAI148" s="76"/>
      <c r="AAJ148" s="56"/>
      <c r="AAK148" s="56"/>
      <c r="AAL148" s="56"/>
      <c r="AAM148" s="113"/>
      <c r="AAU148" s="44"/>
    </row>
    <row r="149" spans="1:723" s="23" customFormat="1" ht="15" hidden="1" customHeight="1" outlineLevel="2">
      <c r="A149" s="560"/>
      <c r="B149" s="378" t="str">
        <f ca="1">"Draft AGENDA."&amp;TEXT($G$146,"mm.dd.yy")&amp;""</f>
        <v>Draft AGENDA.04.17.13</v>
      </c>
      <c r="C149" s="232" t="s">
        <v>73</v>
      </c>
      <c r="D149" s="170" t="s">
        <v>57</v>
      </c>
      <c r="E149" s="380">
        <f t="shared" ref="E149:E153" si="809">NETWORKDAYS(G149,H149,S.DDL_DEQClosed)</f>
        <v>1</v>
      </c>
      <c r="F149" s="494">
        <f t="shared" ref="F149:F153" ca="1" si="810">NETWORKDAYS(TODAY(),H149)</f>
        <v>24</v>
      </c>
      <c r="G149" s="382">
        <f t="shared" ref="G149:G153" si="811">AAG149</f>
        <v>41414</v>
      </c>
      <c r="H149" s="383">
        <f t="shared" ref="H149:H153" si="812">AAH149</f>
        <v>41414</v>
      </c>
      <c r="I149" s="590"/>
      <c r="J149" s="47"/>
      <c r="K149" s="593"/>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50"/>
      <c r="ZZ149" s="50"/>
      <c r="AAA149" s="590"/>
      <c r="AAB149"/>
      <c r="AAC149"/>
      <c r="AAD149" s="113"/>
      <c r="AAE149" s="554">
        <f t="shared" si="808"/>
        <v>1</v>
      </c>
      <c r="AAF149" s="113" t="s">
        <v>0</v>
      </c>
      <c r="AAG149" s="78">
        <f>H147</f>
        <v>41414</v>
      </c>
      <c r="AAH149" s="78">
        <f>G149</f>
        <v>41414</v>
      </c>
      <c r="AAI149" s="77"/>
      <c r="AAJ149" s="77"/>
      <c r="AAK149" s="77"/>
      <c r="AAL149" s="89" t="str">
        <f>"Draft "&amp;S.CodeName&amp;"AGENDA.mm.dd.yyyy.2.00"</f>
        <v>Draft AGENDA.mm.dd.yyyy.2.00</v>
      </c>
      <c r="AAM149" s="113"/>
      <c r="AAU149" s="44"/>
    </row>
    <row r="150" spans="1:723" s="23" customFormat="1" ht="15" hidden="1" customHeight="1" outlineLevel="2">
      <c r="A150" s="560"/>
      <c r="B150" s="392" t="s">
        <v>227</v>
      </c>
      <c r="C150" s="240"/>
      <c r="D150" s="170" t="s">
        <v>57</v>
      </c>
      <c r="E150" s="380">
        <f t="shared" si="809"/>
        <v>1</v>
      </c>
      <c r="F150" s="494">
        <f t="shared" ca="1" si="810"/>
        <v>24</v>
      </c>
      <c r="G150" s="382">
        <f t="shared" si="811"/>
        <v>41414</v>
      </c>
      <c r="H150" s="383">
        <f t="shared" si="812"/>
        <v>41414</v>
      </c>
      <c r="I150" s="590"/>
      <c r="J150" s="47"/>
      <c r="K150" s="593"/>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90"/>
      <c r="AAB150"/>
      <c r="AAC150"/>
      <c r="AAD150" s="113"/>
      <c r="AAE150" s="554">
        <f t="shared" si="808"/>
        <v>1</v>
      </c>
      <c r="AAF150" s="113" t="s">
        <v>0</v>
      </c>
      <c r="AAG150" s="78">
        <f>H149</f>
        <v>41414</v>
      </c>
      <c r="AAH150" s="78">
        <f t="shared" ref="AAH150:AAH153" si="813">G150</f>
        <v>41414</v>
      </c>
      <c r="AAI150" s="77"/>
      <c r="AAJ150" s="77"/>
      <c r="AAK150" s="77"/>
      <c r="AAL150" s="56"/>
      <c r="AAM150" s="113"/>
      <c r="AAU150" s="44"/>
    </row>
    <row r="151" spans="1:723" s="23" customFormat="1" ht="15" hidden="1" customHeight="1" outlineLevel="2">
      <c r="A151" s="560"/>
      <c r="B151" s="392" t="s">
        <v>227</v>
      </c>
      <c r="C151" s="240"/>
      <c r="D151" s="170" t="s">
        <v>57</v>
      </c>
      <c r="E151" s="380">
        <f t="shared" si="809"/>
        <v>1</v>
      </c>
      <c r="F151" s="494">
        <f t="shared" ca="1" si="810"/>
        <v>24</v>
      </c>
      <c r="G151" s="382">
        <f t="shared" si="811"/>
        <v>41414</v>
      </c>
      <c r="H151" s="383">
        <f t="shared" si="812"/>
        <v>41414</v>
      </c>
      <c r="I151" s="590"/>
      <c r="J151" s="47"/>
      <c r="K151" s="593"/>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90"/>
      <c r="AAB151"/>
      <c r="AAC151"/>
      <c r="AAD151" s="113"/>
      <c r="AAE151" s="554">
        <f t="shared" si="808"/>
        <v>1</v>
      </c>
      <c r="AAF151" s="113" t="s">
        <v>0</v>
      </c>
      <c r="AAG151" s="78">
        <f>H150</f>
        <v>41414</v>
      </c>
      <c r="AAH151" s="78">
        <f t="shared" si="813"/>
        <v>41414</v>
      </c>
      <c r="AAI151" s="77"/>
      <c r="AAJ151" s="77"/>
      <c r="AAK151" s="77"/>
      <c r="AAL151" s="56"/>
      <c r="AAM151" s="113"/>
      <c r="AAU151" s="44"/>
    </row>
    <row r="152" spans="1:723" s="23" customFormat="1" ht="15" hidden="1" customHeight="1" outlineLevel="2">
      <c r="A152" s="560"/>
      <c r="B152" s="392" t="s">
        <v>227</v>
      </c>
      <c r="C152" s="240"/>
      <c r="D152" s="170" t="s">
        <v>57</v>
      </c>
      <c r="E152" s="380">
        <f t="shared" si="809"/>
        <v>1</v>
      </c>
      <c r="F152" s="494">
        <f t="shared" ca="1" si="810"/>
        <v>24</v>
      </c>
      <c r="G152" s="382">
        <f t="shared" si="811"/>
        <v>41414</v>
      </c>
      <c r="H152" s="383">
        <f t="shared" si="812"/>
        <v>41414</v>
      </c>
      <c r="I152" s="590"/>
      <c r="J152" s="47"/>
      <c r="K152" s="593"/>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90"/>
      <c r="AAB152"/>
      <c r="AAC152"/>
      <c r="AAD152" s="113"/>
      <c r="AAE152" s="554">
        <f t="shared" si="808"/>
        <v>1</v>
      </c>
      <c r="AAF152" s="113" t="s">
        <v>0</v>
      </c>
      <c r="AAG152" s="78">
        <f>H151</f>
        <v>41414</v>
      </c>
      <c r="AAH152" s="78">
        <f t="shared" si="813"/>
        <v>41414</v>
      </c>
      <c r="AAI152" s="77"/>
      <c r="AAJ152" s="77"/>
      <c r="AAK152" s="77"/>
      <c r="AAL152" s="56"/>
      <c r="AAM152" s="113"/>
      <c r="AAU152" s="44"/>
    </row>
    <row r="153" spans="1:723" s="23" customFormat="1" ht="15" hidden="1" customHeight="1" outlineLevel="2">
      <c r="A153" s="560"/>
      <c r="B153" s="392" t="s">
        <v>227</v>
      </c>
      <c r="C153" s="240"/>
      <c r="D153" s="170" t="s">
        <v>57</v>
      </c>
      <c r="E153" s="380">
        <f t="shared" si="809"/>
        <v>1</v>
      </c>
      <c r="F153" s="494">
        <f t="shared" ca="1" si="810"/>
        <v>24</v>
      </c>
      <c r="G153" s="382">
        <f t="shared" si="811"/>
        <v>41414</v>
      </c>
      <c r="H153" s="383">
        <f t="shared" si="812"/>
        <v>41414</v>
      </c>
      <c r="I153" s="590"/>
      <c r="J153" s="47"/>
      <c r="K153" s="593"/>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90"/>
      <c r="AAB153"/>
      <c r="AAC153"/>
      <c r="AAD153" s="113"/>
      <c r="AAE153" s="554">
        <f t="shared" si="808"/>
        <v>1</v>
      </c>
      <c r="AAF153" s="113" t="s">
        <v>0</v>
      </c>
      <c r="AAG153" s="78">
        <f t="shared" ref="AAG153" si="814">H152</f>
        <v>41414</v>
      </c>
      <c r="AAH153" s="78">
        <f t="shared" si="813"/>
        <v>41414</v>
      </c>
      <c r="AAI153" s="77"/>
      <c r="AAJ153" s="77"/>
      <c r="AAK153" s="77"/>
      <c r="AAL153" s="56"/>
      <c r="AAM153" s="113"/>
      <c r="AAU153" s="44"/>
    </row>
    <row r="154" spans="1:723" s="23" customFormat="1" ht="15" hidden="1" customHeight="1" outlineLevel="2">
      <c r="A154" s="560"/>
      <c r="B154" s="393" t="s">
        <v>217</v>
      </c>
      <c r="C154" s="717"/>
      <c r="D154" s="168"/>
      <c r="E154" s="168"/>
      <c r="F154" s="168"/>
      <c r="G154" s="168"/>
      <c r="H154" s="168"/>
      <c r="I154" s="590"/>
      <c r="J154" s="47"/>
      <c r="K154" s="593"/>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619"/>
      <c r="ZZ154" s="624"/>
      <c r="AAA154" s="590"/>
      <c r="AAB154"/>
      <c r="AAC154"/>
      <c r="AAD154" s="113"/>
      <c r="AAE154" s="554">
        <f t="shared" si="808"/>
        <v>1</v>
      </c>
      <c r="AAF154" s="585" t="s">
        <v>199</v>
      </c>
      <c r="AAG154" s="39"/>
      <c r="AAH154" s="39"/>
      <c r="AAI154" s="39"/>
      <c r="AAJ154" s="56"/>
      <c r="AAK154" s="56"/>
      <c r="AAL154" s="56"/>
      <c r="AAM154" s="113"/>
      <c r="AAU154" s="44"/>
    </row>
    <row r="155" spans="1:723" s="23" customFormat="1" ht="15" hidden="1" customHeight="1" outlineLevel="2">
      <c r="A155" s="560"/>
      <c r="B155" s="394" t="str">
        <f ca="1">"Draft optional PRESENTATION."&amp;TEXT($G$146,"mm.dd.yy")&amp;""</f>
        <v>Draft optional PRESENTATION.04.17.13</v>
      </c>
      <c r="C155" s="232" t="s">
        <v>73</v>
      </c>
      <c r="D155" s="170" t="s">
        <v>57</v>
      </c>
      <c r="E155" s="380">
        <f t="shared" ref="E155:E158" si="815">NETWORKDAYS(G155,H155,S.DDL_DEQClosed)</f>
        <v>1</v>
      </c>
      <c r="F155" s="494">
        <f t="shared" ref="F155:F158" ca="1" si="816">NETWORKDAYS(TODAY(),H155)</f>
        <v>24</v>
      </c>
      <c r="G155" s="382">
        <f t="shared" ref="G155:G158" si="817">AAG155</f>
        <v>41414</v>
      </c>
      <c r="H155" s="383">
        <f t="shared" ref="H155:H158" si="818">AAH155</f>
        <v>41414</v>
      </c>
      <c r="I155" s="590"/>
      <c r="J155" s="47"/>
      <c r="K155" s="593"/>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50"/>
      <c r="ZZ155" s="50"/>
      <c r="AAA155" s="590"/>
      <c r="AAB155"/>
      <c r="AAC155"/>
      <c r="AAD155" s="113"/>
      <c r="AAE155" s="554">
        <f t="shared" si="808"/>
        <v>1</v>
      </c>
      <c r="AAF155" s="113" t="s">
        <v>0</v>
      </c>
      <c r="AAG155" s="78">
        <f>H153</f>
        <v>41414</v>
      </c>
      <c r="AAH155" s="78">
        <f t="shared" ref="AAH155:AAH158" si="819">G155</f>
        <v>41414</v>
      </c>
      <c r="AAI155" s="63"/>
      <c r="AAJ155" s="56"/>
      <c r="AAK155" s="56"/>
      <c r="AAL155" s="56"/>
      <c r="AAM155" s="113"/>
      <c r="AAU155" s="44"/>
    </row>
    <row r="156" spans="1:723" s="23" customFormat="1" ht="15" hidden="1" customHeight="1" outlineLevel="2">
      <c r="A156" s="560"/>
      <c r="B156" s="394" t="s">
        <v>231</v>
      </c>
      <c r="C156" s="240"/>
      <c r="D156" s="170" t="s">
        <v>57</v>
      </c>
      <c r="E156" s="380">
        <f t="shared" si="815"/>
        <v>1</v>
      </c>
      <c r="F156" s="494">
        <f t="shared" ca="1" si="816"/>
        <v>24</v>
      </c>
      <c r="G156" s="382">
        <f t="shared" si="817"/>
        <v>41414</v>
      </c>
      <c r="H156" s="383">
        <f t="shared" si="818"/>
        <v>41414</v>
      </c>
      <c r="I156" s="590"/>
      <c r="J156" s="47"/>
      <c r="K156" s="593"/>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90"/>
      <c r="AAB156"/>
      <c r="AAC156"/>
      <c r="AAD156" s="113"/>
      <c r="AAE156" s="554">
        <f t="shared" si="808"/>
        <v>1</v>
      </c>
      <c r="AAF156" s="113" t="s">
        <v>0</v>
      </c>
      <c r="AAG156" s="78">
        <f t="shared" ref="AAG156" si="820">H155</f>
        <v>41414</v>
      </c>
      <c r="AAH156" s="78">
        <f t="shared" si="819"/>
        <v>41414</v>
      </c>
      <c r="AAI156" s="63"/>
      <c r="AAJ156" s="56"/>
      <c r="AAK156" s="56"/>
      <c r="AAL156" s="56"/>
      <c r="AAM156" s="113"/>
      <c r="AAU156" s="44"/>
    </row>
    <row r="157" spans="1:723" s="23" customFormat="1" ht="15" hidden="1" customHeight="1" outlineLevel="2">
      <c r="A157" s="560"/>
      <c r="B157" s="394" t="s">
        <v>225</v>
      </c>
      <c r="C157" s="240"/>
      <c r="D157" s="170" t="s">
        <v>57</v>
      </c>
      <c r="E157" s="380">
        <f t="shared" si="815"/>
        <v>1</v>
      </c>
      <c r="F157" s="494">
        <f t="shared" ca="1" si="816"/>
        <v>24</v>
      </c>
      <c r="G157" s="382">
        <f t="shared" si="817"/>
        <v>41414</v>
      </c>
      <c r="H157" s="383">
        <f t="shared" si="818"/>
        <v>41414</v>
      </c>
      <c r="I157" s="590"/>
      <c r="J157" s="47"/>
      <c r="K157" s="593"/>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90"/>
      <c r="AAB157"/>
      <c r="AAC157"/>
      <c r="AAD157" s="113"/>
      <c r="AAE157" s="554">
        <f t="shared" si="808"/>
        <v>1</v>
      </c>
      <c r="AAF157" s="113" t="s">
        <v>0</v>
      </c>
      <c r="AAG157" s="78">
        <f>H156</f>
        <v>41414</v>
      </c>
      <c r="AAH157" s="78">
        <f t="shared" si="819"/>
        <v>41414</v>
      </c>
      <c r="AAI157" s="63"/>
      <c r="AAJ157" s="56"/>
      <c r="AAK157" s="56"/>
      <c r="AAL157" s="56"/>
      <c r="AAM157" s="113"/>
      <c r="AAU157" s="44"/>
    </row>
    <row r="158" spans="1:723" s="23" customFormat="1" ht="15" hidden="1" customHeight="1" outlineLevel="2">
      <c r="A158" s="560"/>
      <c r="B158" s="394" t="s">
        <v>226</v>
      </c>
      <c r="C158" s="240"/>
      <c r="D158" s="170" t="s">
        <v>57</v>
      </c>
      <c r="E158" s="380">
        <f t="shared" si="815"/>
        <v>1</v>
      </c>
      <c r="F158" s="494">
        <f t="shared" ca="1" si="816"/>
        <v>24</v>
      </c>
      <c r="G158" s="382">
        <f t="shared" si="817"/>
        <v>41414</v>
      </c>
      <c r="H158" s="383">
        <f t="shared" si="818"/>
        <v>41414</v>
      </c>
      <c r="I158" s="590"/>
      <c r="J158" s="47"/>
      <c r="K158" s="593"/>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90"/>
      <c r="AAB158"/>
      <c r="AAC158"/>
      <c r="AAD158" s="113"/>
      <c r="AAE158" s="554">
        <f t="shared" si="808"/>
        <v>1</v>
      </c>
      <c r="AAF158" s="113" t="s">
        <v>0</v>
      </c>
      <c r="AAG158" s="78">
        <f t="shared" ref="AAG158" si="821">H157</f>
        <v>41414</v>
      </c>
      <c r="AAH158" s="78">
        <f t="shared" si="819"/>
        <v>41414</v>
      </c>
      <c r="AAI158" s="63"/>
      <c r="AAJ158" s="56"/>
      <c r="AAK158" s="56"/>
      <c r="AAL158" s="56"/>
      <c r="AAM158" s="113"/>
      <c r="AAU158" s="44"/>
    </row>
    <row r="159" spans="1:723" s="23" customFormat="1" ht="15" hidden="1" customHeight="1" outlineLevel="2">
      <c r="A159" s="560"/>
      <c r="B159" s="395" t="s">
        <v>218</v>
      </c>
      <c r="C159" s="718"/>
      <c r="D159" s="123"/>
      <c r="E159" s="123"/>
      <c r="F159" s="123"/>
      <c r="G159" s="123"/>
      <c r="H159" s="123"/>
      <c r="I159" s="590"/>
      <c r="J159" s="47"/>
      <c r="K159" s="593"/>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619"/>
      <c r="ZZ159" s="624"/>
      <c r="AAA159" s="590"/>
      <c r="AAB159"/>
      <c r="AAC159"/>
      <c r="AAD159" s="113"/>
      <c r="AAE159" s="554">
        <f t="shared" si="808"/>
        <v>1</v>
      </c>
      <c r="AAF159" s="585" t="s">
        <v>199</v>
      </c>
      <c r="AAG159" s="39"/>
      <c r="AAH159" s="39"/>
      <c r="AAI159" s="39"/>
      <c r="AAJ159" s="56"/>
      <c r="AAK159" s="56"/>
      <c r="AAL159" s="56"/>
      <c r="AAM159" s="113"/>
      <c r="AAU159" s="44"/>
    </row>
    <row r="160" spans="1:723" s="23" customFormat="1" ht="15" hidden="1" customHeight="1" outlineLevel="2">
      <c r="A160" s="560"/>
      <c r="B160" s="378" t="str">
        <f ca="1">"Draft COMMITTEE.NOTICE."&amp;TEXT($G$146,"mm.dd.yy")&amp;""</f>
        <v>Draft COMMITTEE.NOTICE.04.17.13</v>
      </c>
      <c r="C160" s="240"/>
      <c r="D160" s="170" t="s">
        <v>161</v>
      </c>
      <c r="E160" s="380">
        <f t="shared" ref="E160" si="822">NETWORKDAYS(G160,H160,S.DDL_DEQClosed)</f>
        <v>1</v>
      </c>
      <c r="F160" s="494">
        <f t="shared" ref="F160" ca="1" si="823">NETWORKDAYS(TODAY(),H160)</f>
        <v>24</v>
      </c>
      <c r="G160" s="382">
        <f t="shared" ref="G160" si="824">AAG160</f>
        <v>41414</v>
      </c>
      <c r="H160" s="383">
        <f t="shared" ref="H160" si="825">AAH160</f>
        <v>41414</v>
      </c>
      <c r="I160" s="590"/>
      <c r="J160" s="47"/>
      <c r="K160" s="593"/>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50"/>
      <c r="ZZ160" s="50"/>
      <c r="AAA160" s="590"/>
      <c r="AAB160"/>
      <c r="AAC160"/>
      <c r="AAD160" s="113"/>
      <c r="AAE160" s="554">
        <f t="shared" si="808"/>
        <v>1</v>
      </c>
      <c r="AAF160" s="113" t="s">
        <v>0</v>
      </c>
      <c r="AAG160" s="78">
        <f>H158</f>
        <v>41414</v>
      </c>
      <c r="AAH160" s="78">
        <f t="shared" ref="AAH160" si="826">G160</f>
        <v>41414</v>
      </c>
      <c r="AAI160" s="77"/>
      <c r="AAJ160" s="77"/>
      <c r="AAK160" s="77"/>
      <c r="AAL160" s="89" t="str">
        <f>"Draft "&amp;S.CodeName&amp;"COMMITTEE.NOTICE.mm.dd.yyyy.2.00"</f>
        <v>Draft COMMITTEE.NOTICE.mm.dd.yyyy.2.00</v>
      </c>
      <c r="AAM160" s="113"/>
      <c r="AAU160" s="44"/>
    </row>
    <row r="161" spans="1:723" s="23" customFormat="1" ht="15" hidden="1" customHeight="1" outlineLevel="2">
      <c r="A161" s="560"/>
      <c r="B161" s="396" t="s">
        <v>23</v>
      </c>
      <c r="C161" s="246"/>
      <c r="D161" s="197"/>
      <c r="E161" s="124"/>
      <c r="F161" s="125"/>
      <c r="G161" s="247" t="s">
        <v>0</v>
      </c>
      <c r="H161" s="146"/>
      <c r="I161" s="590"/>
      <c r="J161" s="47"/>
      <c r="K161" s="593"/>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619"/>
      <c r="ZZ161" s="624"/>
      <c r="AAA161" s="590"/>
      <c r="AAB161"/>
      <c r="AAC161"/>
      <c r="AAD161" s="113"/>
      <c r="AAE161" s="554">
        <f t="shared" si="808"/>
        <v>1</v>
      </c>
      <c r="AAF161" s="585" t="s">
        <v>199</v>
      </c>
      <c r="AAG161" s="63"/>
      <c r="AAH161" s="76" t="s">
        <v>0</v>
      </c>
      <c r="AAI161" s="77"/>
      <c r="AAJ161" s="77"/>
      <c r="AAK161" s="77"/>
      <c r="AAL161" s="56"/>
      <c r="AAM161" s="113"/>
      <c r="AAU161" s="44"/>
    </row>
    <row r="162" spans="1:723" s="23" customFormat="1" ht="15" hidden="1" customHeight="1" outlineLevel="2">
      <c r="A162" s="560"/>
      <c r="B162" s="388" t="s">
        <v>230</v>
      </c>
      <c r="C162" s="169"/>
      <c r="D162" s="170" t="s">
        <v>176</v>
      </c>
      <c r="E162" s="380">
        <f>NETWORKDAYS(G162,H162,S.DDL_DEQClosed)</f>
        <v>1</v>
      </c>
      <c r="F162" s="494">
        <f ca="1">NETWORKDAYS(TODAY(),H162)</f>
        <v>24</v>
      </c>
      <c r="G162" s="382">
        <f>AAG162</f>
        <v>41414</v>
      </c>
      <c r="H162" s="383">
        <f>AAH162</f>
        <v>41414</v>
      </c>
      <c r="I162" s="590"/>
      <c r="J162" s="47"/>
      <c r="K162" s="593"/>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50"/>
      <c r="ZZ162" s="50"/>
      <c r="AAA162" s="590"/>
      <c r="AAB162"/>
      <c r="AAC162"/>
      <c r="AAD162" s="113"/>
      <c r="AAE162" s="554">
        <f t="shared" si="808"/>
        <v>1</v>
      </c>
      <c r="AAF162" s="113"/>
      <c r="AAG162" s="78">
        <f>H160</f>
        <v>41414</v>
      </c>
      <c r="AAH162" s="78">
        <f>G162</f>
        <v>41414</v>
      </c>
      <c r="AAI162" s="77"/>
      <c r="AAJ162" s="77"/>
      <c r="AAK162" s="77"/>
      <c r="AAL162" s="56"/>
      <c r="AAM162" s="113"/>
      <c r="AAU162" s="44"/>
    </row>
    <row r="163" spans="1:723" s="23" customFormat="1" ht="15" hidden="1" customHeight="1" outlineLevel="2">
      <c r="A163" s="560"/>
      <c r="B163" s="388" t="s">
        <v>56</v>
      </c>
      <c r="C163" s="169"/>
      <c r="D163" s="170" t="s">
        <v>167</v>
      </c>
      <c r="E163" s="380">
        <f t="shared" ref="E163:E165" si="827">NETWORKDAYS(G163,H163,S.DDL_DEQClosed)</f>
        <v>1</v>
      </c>
      <c r="F163" s="494">
        <f t="shared" ref="F163:F165" ca="1" si="828">NETWORKDAYS(TODAY(),H163)</f>
        <v>24</v>
      </c>
      <c r="G163" s="382">
        <f t="shared" ref="G163:G165" si="829">AAG163</f>
        <v>41414</v>
      </c>
      <c r="H163" s="383">
        <f t="shared" ref="H163:H165" si="830">AAH163</f>
        <v>41414</v>
      </c>
      <c r="I163" s="590"/>
      <c r="J163" s="47"/>
      <c r="K163" s="593"/>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90"/>
      <c r="AAB163"/>
      <c r="AAC163"/>
      <c r="AAD163" s="113"/>
      <c r="AAE163" s="554">
        <f t="shared" si="808"/>
        <v>1</v>
      </c>
      <c r="AAF163" s="113"/>
      <c r="AAG163" s="78">
        <f>H162</f>
        <v>41414</v>
      </c>
      <c r="AAH163" s="78">
        <f t="shared" ref="AAH163:AAH165" si="831">G163</f>
        <v>41414</v>
      </c>
      <c r="AAI163" s="77"/>
      <c r="AAJ163" s="77"/>
      <c r="AAK163" s="77"/>
      <c r="AAL163" s="56"/>
      <c r="AAM163" s="113"/>
      <c r="AAU163" s="44"/>
    </row>
    <row r="164" spans="1:723" s="23" customFormat="1" ht="15" hidden="1" customHeight="1" outlineLevel="2">
      <c r="A164" s="560"/>
      <c r="B164" s="405" t="str">
        <f ca="1">"Draft MINUTES."&amp;TEXT($G$146,"mm.dd.yy")&amp;""</f>
        <v>Draft MINUTES.04.17.13</v>
      </c>
      <c r="C164" s="232" t="s">
        <v>73</v>
      </c>
      <c r="D164" s="249" t="s">
        <v>161</v>
      </c>
      <c r="E164" s="380">
        <f t="shared" si="827"/>
        <v>1</v>
      </c>
      <c r="F164" s="494">
        <f t="shared" ca="1" si="828"/>
        <v>24</v>
      </c>
      <c r="G164" s="382">
        <f t="shared" si="829"/>
        <v>41414</v>
      </c>
      <c r="H164" s="383">
        <f t="shared" si="830"/>
        <v>41414</v>
      </c>
      <c r="I164" s="590"/>
      <c r="J164" s="47"/>
      <c r="K164" s="593"/>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90"/>
      <c r="AAB164"/>
      <c r="AAC164"/>
      <c r="AAD164" s="113"/>
      <c r="AAE164" s="554">
        <f t="shared" si="808"/>
        <v>1</v>
      </c>
      <c r="AAF164" s="113"/>
      <c r="AAG164" s="78">
        <f t="shared" ref="AAG164:AAG165" si="832">H163</f>
        <v>41414</v>
      </c>
      <c r="AAH164" s="78">
        <f t="shared" si="831"/>
        <v>41414</v>
      </c>
      <c r="AAI164" s="77"/>
      <c r="AAJ164" s="77"/>
      <c r="AAK164" s="77"/>
      <c r="AAL164" s="89" t="str">
        <f>"Draft "&amp;S.CodeName&amp;"MINUTES.mm.dd.yyy.2.00"</f>
        <v>Draft MINUTES.mm.dd.yyy.2.00</v>
      </c>
      <c r="AAM164" s="113"/>
      <c r="AAU164" s="44"/>
    </row>
    <row r="165" spans="1:723" s="23" customFormat="1" ht="15" hidden="1" customHeight="1" outlineLevel="2">
      <c r="A165" s="560"/>
      <c r="B165" s="388" t="s">
        <v>55</v>
      </c>
      <c r="C165" s="169"/>
      <c r="D165" s="170" t="s">
        <v>167</v>
      </c>
      <c r="E165" s="380">
        <f t="shared" si="827"/>
        <v>1</v>
      </c>
      <c r="F165" s="494">
        <f t="shared" ca="1" si="828"/>
        <v>24</v>
      </c>
      <c r="G165" s="382">
        <f t="shared" si="829"/>
        <v>41414</v>
      </c>
      <c r="H165" s="383">
        <f t="shared" si="830"/>
        <v>41414</v>
      </c>
      <c r="I165" s="590"/>
      <c r="J165" s="47"/>
      <c r="K165" s="593"/>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90"/>
      <c r="AAB165"/>
      <c r="AAC165"/>
      <c r="AAD165" s="113"/>
      <c r="AAE165" s="554">
        <f t="shared" si="808"/>
        <v>1</v>
      </c>
      <c r="AAF165" s="113"/>
      <c r="AAG165" s="78">
        <f t="shared" si="832"/>
        <v>41414</v>
      </c>
      <c r="AAH165" s="78">
        <f t="shared" si="831"/>
        <v>41414</v>
      </c>
      <c r="AAI165" s="77"/>
      <c r="AAJ165" s="77"/>
      <c r="AAK165" s="77"/>
      <c r="AAL165" s="56"/>
      <c r="AAM165" s="113"/>
      <c r="AAU165" s="44"/>
    </row>
    <row r="166" spans="1:723" s="23" customFormat="1" ht="18" customHeight="1" outlineLevel="1" collapsed="1">
      <c r="A166" s="560"/>
      <c r="B166" s="245" t="s">
        <v>97</v>
      </c>
      <c r="C166" s="169"/>
      <c r="D166" s="762"/>
      <c r="E166" s="762"/>
      <c r="F166" s="762"/>
      <c r="G166" s="407">
        <f ca="1">TODAY()</f>
        <v>41381</v>
      </c>
      <c r="H166" s="407" t="s">
        <v>220</v>
      </c>
      <c r="I166" s="590"/>
      <c r="J166" s="47"/>
      <c r="K166" s="593"/>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619"/>
      <c r="ZZ166" s="624"/>
      <c r="AAA166" s="590"/>
      <c r="AAB166"/>
      <c r="AAC166"/>
      <c r="AAD166" s="113"/>
      <c r="AAE166" s="554">
        <f t="shared" si="808"/>
        <v>1</v>
      </c>
      <c r="AAF166" s="585" t="s">
        <v>199</v>
      </c>
      <c r="AAG166" s="39" t="s">
        <v>0</v>
      </c>
      <c r="AAH166" s="39" t="s">
        <v>0</v>
      </c>
      <c r="AAI166" s="39"/>
      <c r="AAJ166" s="56"/>
      <c r="AAK166" s="56"/>
      <c r="AAL166" s="56"/>
      <c r="AAM166" s="113"/>
      <c r="AAU166" s="44"/>
    </row>
    <row r="167" spans="1:723" s="23" customFormat="1" ht="15" hidden="1" customHeight="1" outlineLevel="2">
      <c r="A167" s="560"/>
      <c r="B167" s="376" t="s">
        <v>59</v>
      </c>
      <c r="C167" s="169"/>
      <c r="D167" s="170" t="s">
        <v>167</v>
      </c>
      <c r="E167" s="369">
        <f t="shared" ref="E167" si="833">NETWORKDAYS(G167,H167,S.DDL_DEQClosed)</f>
        <v>1</v>
      </c>
      <c r="F167" s="494">
        <f t="shared" ref="F167" ca="1" si="834">NETWORKDAYS(TODAY(),H167)</f>
        <v>24</v>
      </c>
      <c r="G167" s="384">
        <f t="shared" ref="G167" si="835">AAG167</f>
        <v>41414</v>
      </c>
      <c r="H167" s="370">
        <f t="shared" ref="H167" si="836">AAH167</f>
        <v>41414</v>
      </c>
      <c r="I167" s="590"/>
      <c r="J167" s="47"/>
      <c r="K167" s="593"/>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50"/>
      <c r="ZZ167" s="50"/>
      <c r="AAA167" s="590"/>
      <c r="AAB167"/>
      <c r="AAC167"/>
      <c r="AAD167" s="113"/>
      <c r="AAE167" s="554">
        <f t="shared" si="808"/>
        <v>1</v>
      </c>
      <c r="AAF167" s="113"/>
      <c r="AAG167" s="78">
        <f>H164</f>
        <v>41414</v>
      </c>
      <c r="AAH167" s="78">
        <f t="shared" ref="AAH167" si="837">G167</f>
        <v>41414</v>
      </c>
      <c r="AAI167" s="63"/>
      <c r="AAJ167" s="56"/>
      <c r="AAK167" s="56"/>
      <c r="AAL167" s="56"/>
      <c r="AAM167" s="113"/>
      <c r="AAU167" s="44"/>
    </row>
    <row r="168" spans="1:723" s="23" customFormat="1" ht="15" hidden="1" customHeight="1" outlineLevel="2">
      <c r="A168" s="560"/>
      <c r="B168" s="377" t="s">
        <v>58</v>
      </c>
      <c r="C168" s="167"/>
      <c r="D168" s="176"/>
      <c r="E168" s="161"/>
      <c r="F168" s="161"/>
      <c r="G168" s="162"/>
      <c r="H168" s="146"/>
      <c r="I168" s="590"/>
      <c r="J168" s="47"/>
      <c r="K168" s="593"/>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619"/>
      <c r="ZZ168" s="624"/>
      <c r="AAA168" s="590"/>
      <c r="AAB168"/>
      <c r="AAC168"/>
      <c r="AAD168" s="113"/>
      <c r="AAE168" s="554">
        <f t="shared" si="808"/>
        <v>1</v>
      </c>
      <c r="AAF168" s="585" t="s">
        <v>199</v>
      </c>
      <c r="AAG168" s="63"/>
      <c r="AAH168" s="76"/>
      <c r="AAI168" s="76"/>
      <c r="AAJ168" s="56"/>
      <c r="AAK168" s="56"/>
      <c r="AAL168" s="56"/>
      <c r="AAM168" s="113"/>
      <c r="AAU168" s="44"/>
    </row>
    <row r="169" spans="1:723" s="23" customFormat="1" ht="15" hidden="1" customHeight="1" outlineLevel="2">
      <c r="A169" s="560"/>
      <c r="B169" s="378" t="str">
        <f ca="1">"Draft AGENDA."&amp;TEXT($G$166,"mm.dd.yy")&amp;""</f>
        <v>Draft AGENDA.04.17.13</v>
      </c>
      <c r="C169" s="232" t="s">
        <v>73</v>
      </c>
      <c r="D169" s="170" t="s">
        <v>57</v>
      </c>
      <c r="E169" s="369">
        <f t="shared" ref="E169:E173" si="838">NETWORKDAYS(G169,H169,S.DDL_DEQClosed)</f>
        <v>1</v>
      </c>
      <c r="F169" s="494">
        <f t="shared" ref="F169:F173" ca="1" si="839">NETWORKDAYS(TODAY(),H169)</f>
        <v>24</v>
      </c>
      <c r="G169" s="384">
        <f t="shared" ref="G169:G173" si="840">AAG169</f>
        <v>41414</v>
      </c>
      <c r="H169" s="370">
        <f t="shared" ref="H169:H173" si="841">AAH169</f>
        <v>41414</v>
      </c>
      <c r="I169" s="590"/>
      <c r="J169" s="47"/>
      <c r="K169" s="593"/>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50"/>
      <c r="ZZ169" s="50"/>
      <c r="AAA169" s="590"/>
      <c r="AAB169"/>
      <c r="AAC169"/>
      <c r="AAD169" s="113"/>
      <c r="AAE169" s="554">
        <f t="shared" si="808"/>
        <v>1</v>
      </c>
      <c r="AAF169" s="113" t="s">
        <v>0</v>
      </c>
      <c r="AAG169" s="78">
        <f>H167</f>
        <v>41414</v>
      </c>
      <c r="AAH169" s="78">
        <f>G169</f>
        <v>41414</v>
      </c>
      <c r="AAI169" s="77"/>
      <c r="AAJ169" s="77"/>
      <c r="AAK169" s="77"/>
      <c r="AAL169" s="89" t="str">
        <f>"Draft "&amp;S.CodeName&amp;"AGENDA.mm.dd.yyyy.2.00"</f>
        <v>Draft AGENDA.mm.dd.yyyy.2.00</v>
      </c>
      <c r="AAM169" s="113"/>
      <c r="AAU169" s="44"/>
    </row>
    <row r="170" spans="1:723" s="23" customFormat="1" ht="15" hidden="1" customHeight="1" outlineLevel="2">
      <c r="A170" s="560"/>
      <c r="B170" s="392" t="s">
        <v>227</v>
      </c>
      <c r="C170" s="240"/>
      <c r="D170" s="170" t="s">
        <v>57</v>
      </c>
      <c r="E170" s="369">
        <f t="shared" si="838"/>
        <v>1</v>
      </c>
      <c r="F170" s="494">
        <f t="shared" ca="1" si="839"/>
        <v>24</v>
      </c>
      <c r="G170" s="384">
        <f t="shared" si="840"/>
        <v>41414</v>
      </c>
      <c r="H170" s="370">
        <f t="shared" si="841"/>
        <v>41414</v>
      </c>
      <c r="I170" s="590"/>
      <c r="J170" s="47"/>
      <c r="K170" s="593"/>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90"/>
      <c r="AAB170"/>
      <c r="AAC170"/>
      <c r="AAD170" s="113"/>
      <c r="AAE170" s="554">
        <f t="shared" si="808"/>
        <v>1</v>
      </c>
      <c r="AAF170" s="113" t="s">
        <v>0</v>
      </c>
      <c r="AAG170" s="78">
        <f>H169</f>
        <v>41414</v>
      </c>
      <c r="AAH170" s="78">
        <f t="shared" ref="AAH170:AAH173" si="842">G170</f>
        <v>41414</v>
      </c>
      <c r="AAI170" s="77"/>
      <c r="AAJ170" s="77"/>
      <c r="AAK170" s="77"/>
      <c r="AAL170" s="56"/>
      <c r="AAM170" s="113"/>
      <c r="AAU170" s="44"/>
    </row>
    <row r="171" spans="1:723" s="23" customFormat="1" ht="15" hidden="1" customHeight="1" outlineLevel="2">
      <c r="A171" s="560"/>
      <c r="B171" s="392" t="s">
        <v>227</v>
      </c>
      <c r="C171" s="240"/>
      <c r="D171" s="170" t="s">
        <v>57</v>
      </c>
      <c r="E171" s="369">
        <f t="shared" si="838"/>
        <v>1</v>
      </c>
      <c r="F171" s="494">
        <f t="shared" ca="1" si="839"/>
        <v>24</v>
      </c>
      <c r="G171" s="384">
        <f t="shared" si="840"/>
        <v>41414</v>
      </c>
      <c r="H171" s="370">
        <f t="shared" si="841"/>
        <v>41414</v>
      </c>
      <c r="I171" s="590"/>
      <c r="J171" s="47"/>
      <c r="K171" s="593"/>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90"/>
      <c r="AAB171"/>
      <c r="AAC171"/>
      <c r="AAD171" s="113"/>
      <c r="AAE171" s="554">
        <f t="shared" si="808"/>
        <v>1</v>
      </c>
      <c r="AAF171" s="113" t="s">
        <v>0</v>
      </c>
      <c r="AAG171" s="78">
        <f>H170</f>
        <v>41414</v>
      </c>
      <c r="AAH171" s="78">
        <f t="shared" si="842"/>
        <v>41414</v>
      </c>
      <c r="AAI171" s="77"/>
      <c r="AAJ171" s="77"/>
      <c r="AAK171" s="77"/>
      <c r="AAL171" s="56"/>
      <c r="AAM171" s="113"/>
      <c r="AAU171" s="44"/>
    </row>
    <row r="172" spans="1:723" s="23" customFormat="1" ht="15" hidden="1" customHeight="1" outlineLevel="2">
      <c r="A172" s="560"/>
      <c r="B172" s="392" t="s">
        <v>227</v>
      </c>
      <c r="C172" s="240"/>
      <c r="D172" s="170" t="s">
        <v>57</v>
      </c>
      <c r="E172" s="369">
        <f t="shared" si="838"/>
        <v>1</v>
      </c>
      <c r="F172" s="494">
        <f t="shared" ca="1" si="839"/>
        <v>24</v>
      </c>
      <c r="G172" s="384">
        <f t="shared" si="840"/>
        <v>41414</v>
      </c>
      <c r="H172" s="370">
        <f t="shared" si="841"/>
        <v>41414</v>
      </c>
      <c r="I172" s="590"/>
      <c r="J172" s="47"/>
      <c r="K172" s="593"/>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90"/>
      <c r="AAB172"/>
      <c r="AAC172"/>
      <c r="AAD172" s="113"/>
      <c r="AAE172" s="554">
        <f t="shared" si="808"/>
        <v>1</v>
      </c>
      <c r="AAF172" s="113" t="s">
        <v>0</v>
      </c>
      <c r="AAG172" s="78">
        <f>H171</f>
        <v>41414</v>
      </c>
      <c r="AAH172" s="78">
        <f t="shared" si="842"/>
        <v>41414</v>
      </c>
      <c r="AAI172" s="77"/>
      <c r="AAJ172" s="77"/>
      <c r="AAK172" s="77"/>
      <c r="AAL172" s="56"/>
      <c r="AAM172" s="113"/>
      <c r="AAU172" s="44"/>
    </row>
    <row r="173" spans="1:723" s="23" customFormat="1" ht="15" hidden="1" customHeight="1" outlineLevel="2">
      <c r="A173" s="560"/>
      <c r="B173" s="392" t="s">
        <v>227</v>
      </c>
      <c r="C173" s="240"/>
      <c r="D173" s="170" t="s">
        <v>57</v>
      </c>
      <c r="E173" s="369">
        <f t="shared" si="838"/>
        <v>1</v>
      </c>
      <c r="F173" s="494">
        <f t="shared" ca="1" si="839"/>
        <v>24</v>
      </c>
      <c r="G173" s="384">
        <f t="shared" si="840"/>
        <v>41414</v>
      </c>
      <c r="H173" s="370">
        <f t="shared" si="841"/>
        <v>41414</v>
      </c>
      <c r="I173" s="590"/>
      <c r="J173" s="47"/>
      <c r="K173" s="593"/>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90"/>
      <c r="AAB173"/>
      <c r="AAC173"/>
      <c r="AAD173" s="113"/>
      <c r="AAE173" s="554">
        <f t="shared" si="808"/>
        <v>1</v>
      </c>
      <c r="AAF173" s="113" t="s">
        <v>0</v>
      </c>
      <c r="AAG173" s="78">
        <f t="shared" ref="AAG173" si="843">H172</f>
        <v>41414</v>
      </c>
      <c r="AAH173" s="78">
        <f t="shared" si="842"/>
        <v>41414</v>
      </c>
      <c r="AAI173" s="77"/>
      <c r="AAJ173" s="77"/>
      <c r="AAK173" s="77"/>
      <c r="AAL173" s="56"/>
      <c r="AAM173" s="113"/>
      <c r="AAU173" s="44"/>
    </row>
    <row r="174" spans="1:723" s="23" customFormat="1" ht="15" hidden="1" customHeight="1" outlineLevel="2">
      <c r="A174" s="560"/>
      <c r="B174" s="393" t="s">
        <v>217</v>
      </c>
      <c r="C174" s="717"/>
      <c r="D174" s="168"/>
      <c r="E174" s="168"/>
      <c r="F174" s="168"/>
      <c r="G174" s="168"/>
      <c r="H174" s="168"/>
      <c r="I174" s="590"/>
      <c r="J174" s="47"/>
      <c r="K174" s="593"/>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619"/>
      <c r="ZZ174" s="624"/>
      <c r="AAA174" s="590"/>
      <c r="AAB174"/>
      <c r="AAC174"/>
      <c r="AAD174" s="113"/>
      <c r="AAE174" s="554">
        <f t="shared" si="808"/>
        <v>1</v>
      </c>
      <c r="AAF174" s="585" t="s">
        <v>199</v>
      </c>
      <c r="AAG174" s="39"/>
      <c r="AAH174" s="39"/>
      <c r="AAI174" s="77"/>
      <c r="AAJ174" s="77"/>
      <c r="AAK174" s="77"/>
      <c r="AAL174" s="56"/>
      <c r="AAM174" s="113"/>
      <c r="AAU174" s="44"/>
    </row>
    <row r="175" spans="1:723" s="23" customFormat="1" ht="15" hidden="1" customHeight="1" outlineLevel="2">
      <c r="A175" s="560"/>
      <c r="B175" s="394" t="str">
        <f ca="1">"Draft optional PRESENTATION."&amp;TEXT($G$166,"mm.dd.yy")&amp;""</f>
        <v>Draft optional PRESENTATION.04.17.13</v>
      </c>
      <c r="C175" s="232" t="s">
        <v>73</v>
      </c>
      <c r="D175" s="170" t="s">
        <v>57</v>
      </c>
      <c r="E175" s="369">
        <f t="shared" ref="E175:E178" si="844">NETWORKDAYS(G175,H175,S.DDL_DEQClosed)</f>
        <v>1</v>
      </c>
      <c r="F175" s="494">
        <f t="shared" ref="F175:F178" ca="1" si="845">NETWORKDAYS(TODAY(),H175)</f>
        <v>24</v>
      </c>
      <c r="G175" s="384">
        <f t="shared" ref="G175:G178" si="846">AAG175</f>
        <v>41414</v>
      </c>
      <c r="H175" s="370">
        <f t="shared" ref="H175:H178" si="847">AAH175</f>
        <v>41414</v>
      </c>
      <c r="I175" s="590"/>
      <c r="J175" s="47"/>
      <c r="K175" s="593"/>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50"/>
      <c r="ZZ175" s="50"/>
      <c r="AAA175" s="590"/>
      <c r="AAB175"/>
      <c r="AAC175"/>
      <c r="AAD175" s="113"/>
      <c r="AAE175" s="554">
        <f t="shared" si="808"/>
        <v>1</v>
      </c>
      <c r="AAF175" s="113" t="s">
        <v>0</v>
      </c>
      <c r="AAG175" s="78">
        <f>H173</f>
        <v>41414</v>
      </c>
      <c r="AAH175" s="78">
        <f t="shared" ref="AAH175:AAH178" si="848">G175</f>
        <v>41414</v>
      </c>
      <c r="AAI175" s="77"/>
      <c r="AAJ175" s="77"/>
      <c r="AAK175" s="77"/>
      <c r="AAL175" s="56"/>
      <c r="AAM175" s="113"/>
      <c r="AAU175" s="44"/>
    </row>
    <row r="176" spans="1:723" s="23" customFormat="1" ht="15" hidden="1" customHeight="1" outlineLevel="2">
      <c r="A176" s="560"/>
      <c r="B176" s="394" t="s">
        <v>231</v>
      </c>
      <c r="C176" s="240"/>
      <c r="D176" s="170" t="s">
        <v>57</v>
      </c>
      <c r="E176" s="369">
        <f t="shared" si="844"/>
        <v>1</v>
      </c>
      <c r="F176" s="494">
        <f t="shared" ca="1" si="845"/>
        <v>24</v>
      </c>
      <c r="G176" s="384">
        <f t="shared" si="846"/>
        <v>41414</v>
      </c>
      <c r="H176" s="370">
        <f t="shared" si="847"/>
        <v>41414</v>
      </c>
      <c r="I176" s="590"/>
      <c r="J176" s="47"/>
      <c r="K176" s="593"/>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90"/>
      <c r="AAB176"/>
      <c r="AAC176"/>
      <c r="AAD176" s="113"/>
      <c r="AAE176" s="554">
        <f t="shared" si="808"/>
        <v>1</v>
      </c>
      <c r="AAF176" s="113" t="s">
        <v>0</v>
      </c>
      <c r="AAG176" s="78">
        <f t="shared" ref="AAG176" si="849">H175</f>
        <v>41414</v>
      </c>
      <c r="AAH176" s="78">
        <f t="shared" si="848"/>
        <v>41414</v>
      </c>
      <c r="AAI176" s="77"/>
      <c r="AAJ176" s="77"/>
      <c r="AAK176" s="77"/>
      <c r="AAL176" s="56"/>
      <c r="AAM176" s="113"/>
      <c r="AAU176" s="44"/>
    </row>
    <row r="177" spans="1:723" s="23" customFormat="1" ht="15" hidden="1" customHeight="1" outlineLevel="2">
      <c r="A177" s="560"/>
      <c r="B177" s="394" t="s">
        <v>225</v>
      </c>
      <c r="C177" s="240"/>
      <c r="D177" s="170" t="s">
        <v>57</v>
      </c>
      <c r="E177" s="369">
        <f t="shared" si="844"/>
        <v>1</v>
      </c>
      <c r="F177" s="494">
        <f t="shared" ca="1" si="845"/>
        <v>24</v>
      </c>
      <c r="G177" s="384">
        <f t="shared" si="846"/>
        <v>41414</v>
      </c>
      <c r="H177" s="370">
        <f t="shared" si="847"/>
        <v>41414</v>
      </c>
      <c r="I177" s="590"/>
      <c r="J177" s="47"/>
      <c r="K177" s="593"/>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90"/>
      <c r="AAB177"/>
      <c r="AAC177"/>
      <c r="AAD177" s="113"/>
      <c r="AAE177" s="554">
        <f t="shared" si="808"/>
        <v>1</v>
      </c>
      <c r="AAF177" s="113" t="s">
        <v>0</v>
      </c>
      <c r="AAG177" s="78">
        <f>H176</f>
        <v>41414</v>
      </c>
      <c r="AAH177" s="78">
        <f t="shared" si="848"/>
        <v>41414</v>
      </c>
      <c r="AAI177" s="77"/>
      <c r="AAJ177" s="77"/>
      <c r="AAK177" s="77"/>
      <c r="AAL177" s="56"/>
      <c r="AAM177" s="113"/>
      <c r="AAU177" s="44"/>
    </row>
    <row r="178" spans="1:723" s="23" customFormat="1" ht="15" hidden="1" customHeight="1" outlineLevel="2">
      <c r="A178" s="560"/>
      <c r="B178" s="394" t="s">
        <v>226</v>
      </c>
      <c r="C178" s="240"/>
      <c r="D178" s="170" t="s">
        <v>57</v>
      </c>
      <c r="E178" s="369">
        <f t="shared" si="844"/>
        <v>1</v>
      </c>
      <c r="F178" s="494">
        <f t="shared" ca="1" si="845"/>
        <v>24</v>
      </c>
      <c r="G178" s="384">
        <f t="shared" si="846"/>
        <v>41414</v>
      </c>
      <c r="H178" s="370">
        <f t="shared" si="847"/>
        <v>41414</v>
      </c>
      <c r="I178" s="590"/>
      <c r="J178" s="47"/>
      <c r="K178" s="593"/>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90"/>
      <c r="AAB178"/>
      <c r="AAC178"/>
      <c r="AAD178" s="113"/>
      <c r="AAE178" s="554">
        <f t="shared" si="808"/>
        <v>1</v>
      </c>
      <c r="AAF178" s="113" t="s">
        <v>0</v>
      </c>
      <c r="AAG178" s="78">
        <f t="shared" ref="AAG178" si="850">H177</f>
        <v>41414</v>
      </c>
      <c r="AAH178" s="78">
        <f t="shared" si="848"/>
        <v>41414</v>
      </c>
      <c r="AAI178" s="77"/>
      <c r="AAJ178" s="77"/>
      <c r="AAK178" s="77"/>
      <c r="AAL178" s="56"/>
      <c r="AAM178" s="113"/>
      <c r="AAU178" s="44"/>
    </row>
    <row r="179" spans="1:723" s="23" customFormat="1" ht="15" hidden="1" customHeight="1" outlineLevel="2">
      <c r="A179" s="560"/>
      <c r="B179" s="395" t="s">
        <v>218</v>
      </c>
      <c r="C179" s="718"/>
      <c r="D179" s="123"/>
      <c r="E179" s="123"/>
      <c r="F179" s="123"/>
      <c r="G179" s="123"/>
      <c r="H179" s="123"/>
      <c r="I179" s="590"/>
      <c r="J179" s="47"/>
      <c r="K179" s="593"/>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619"/>
      <c r="ZZ179" s="624"/>
      <c r="AAA179" s="590"/>
      <c r="AAB179"/>
      <c r="AAC179"/>
      <c r="AAD179" s="113"/>
      <c r="AAE179" s="554">
        <f t="shared" si="808"/>
        <v>1</v>
      </c>
      <c r="AAF179" s="585" t="s">
        <v>199</v>
      </c>
      <c r="AAG179" s="39"/>
      <c r="AAH179" s="39"/>
      <c r="AAI179" s="39"/>
      <c r="AAJ179" s="56"/>
      <c r="AAK179" s="56"/>
      <c r="AAL179" s="56"/>
      <c r="AAM179" s="113"/>
      <c r="AAU179" s="44"/>
    </row>
    <row r="180" spans="1:723" s="23" customFormat="1" ht="15" hidden="1" customHeight="1" outlineLevel="2">
      <c r="A180" s="560"/>
      <c r="B180" s="378" t="str">
        <f ca="1">"Draft COMMITTEE.NOTICE."&amp;TEXT($G$166,"mm.dd.yy")&amp;""</f>
        <v>Draft COMMITTEE.NOTICE.04.17.13</v>
      </c>
      <c r="C180" s="240"/>
      <c r="D180" s="170" t="s">
        <v>161</v>
      </c>
      <c r="E180" s="369">
        <f t="shared" ref="E180" si="851">NETWORKDAYS(G180,H180,S.DDL_DEQClosed)</f>
        <v>1</v>
      </c>
      <c r="F180" s="494">
        <f t="shared" ref="F180" ca="1" si="852">NETWORKDAYS(TODAY(),H180)</f>
        <v>24</v>
      </c>
      <c r="G180" s="384">
        <f t="shared" ref="G180" si="853">AAG180</f>
        <v>41414</v>
      </c>
      <c r="H180" s="370">
        <f t="shared" ref="H180" si="854">AAH180</f>
        <v>41414</v>
      </c>
      <c r="I180" s="590"/>
      <c r="J180" s="47"/>
      <c r="K180" s="593"/>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50"/>
      <c r="ZZ180" s="50"/>
      <c r="AAA180" s="590"/>
      <c r="AAB180"/>
      <c r="AAC180"/>
      <c r="AAD180" s="113"/>
      <c r="AAE180" s="554">
        <f t="shared" ref="AAE180:AAE205" si="855">IF(S.InvolveCommittee=TRUE,1,0)</f>
        <v>1</v>
      </c>
      <c r="AAF180" s="113" t="s">
        <v>0</v>
      </c>
      <c r="AAG180" s="78">
        <f>H178</f>
        <v>41414</v>
      </c>
      <c r="AAH180" s="78">
        <f t="shared" ref="AAH180" si="856">G180</f>
        <v>41414</v>
      </c>
      <c r="AAI180" s="77"/>
      <c r="AAJ180" s="77"/>
      <c r="AAK180" s="77"/>
      <c r="AAL180" s="89" t="str">
        <f>"Draft "&amp;S.CodeName&amp;"COMMITTEE.NOTICE.mm.dd.yyyy.2.00"</f>
        <v>Draft COMMITTEE.NOTICE.mm.dd.yyyy.2.00</v>
      </c>
      <c r="AAM180" s="113"/>
      <c r="AAU180" s="44"/>
    </row>
    <row r="181" spans="1:723" s="23" customFormat="1" ht="15" hidden="1" customHeight="1" outlineLevel="2">
      <c r="A181" s="560"/>
      <c r="B181" s="396" t="s">
        <v>23</v>
      </c>
      <c r="C181" s="246"/>
      <c r="D181" s="197"/>
      <c r="E181" s="124"/>
      <c r="F181" s="125"/>
      <c r="G181" s="247" t="s">
        <v>0</v>
      </c>
      <c r="H181" s="146"/>
      <c r="I181" s="590"/>
      <c r="J181" s="47"/>
      <c r="K181" s="593"/>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619"/>
      <c r="ZZ181" s="624"/>
      <c r="AAA181" s="590"/>
      <c r="AAB181"/>
      <c r="AAC181"/>
      <c r="AAD181" s="113"/>
      <c r="AAE181" s="554">
        <f t="shared" si="855"/>
        <v>1</v>
      </c>
      <c r="AAF181" s="585" t="s">
        <v>199</v>
      </c>
      <c r="AAG181" s="63"/>
      <c r="AAH181" s="76" t="s">
        <v>0</v>
      </c>
      <c r="AAI181" s="77"/>
      <c r="AAJ181" s="77"/>
      <c r="AAK181" s="77"/>
      <c r="AAL181" s="56"/>
      <c r="AAM181" s="113"/>
      <c r="AAU181" s="44"/>
    </row>
    <row r="182" spans="1:723" s="23" customFormat="1" ht="15" hidden="1" customHeight="1" outlineLevel="2">
      <c r="A182" s="560"/>
      <c r="B182" s="388" t="s">
        <v>230</v>
      </c>
      <c r="C182" s="169"/>
      <c r="D182" s="170" t="s">
        <v>176</v>
      </c>
      <c r="E182" s="369">
        <f>NETWORKDAYS(G182,H182,S.DDL_DEQClosed)</f>
        <v>1</v>
      </c>
      <c r="F182" s="494">
        <f ca="1">NETWORKDAYS(TODAY(),H182)</f>
        <v>24</v>
      </c>
      <c r="G182" s="384">
        <f>AAG182</f>
        <v>41414</v>
      </c>
      <c r="H182" s="370">
        <f>AAH182</f>
        <v>41414</v>
      </c>
      <c r="I182" s="590"/>
      <c r="J182" s="47"/>
      <c r="K182" s="593"/>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50"/>
      <c r="ZZ182" s="50"/>
      <c r="AAA182" s="590"/>
      <c r="AAB182"/>
      <c r="AAC182"/>
      <c r="AAD182" s="113"/>
      <c r="AAE182" s="554">
        <f t="shared" si="855"/>
        <v>1</v>
      </c>
      <c r="AAF182" s="113"/>
      <c r="AAG182" s="78">
        <f>H180</f>
        <v>41414</v>
      </c>
      <c r="AAH182" s="78">
        <f>G182</f>
        <v>41414</v>
      </c>
      <c r="AAI182" s="77"/>
      <c r="AAJ182" s="77"/>
      <c r="AAK182" s="77"/>
      <c r="AAL182" s="56"/>
      <c r="AAM182" s="113"/>
      <c r="AAU182" s="44"/>
    </row>
    <row r="183" spans="1:723" s="23" customFormat="1" ht="15" hidden="1" customHeight="1" outlineLevel="2">
      <c r="A183" s="560"/>
      <c r="B183" s="388" t="s">
        <v>56</v>
      </c>
      <c r="C183" s="169"/>
      <c r="D183" s="170" t="s">
        <v>167</v>
      </c>
      <c r="E183" s="369">
        <f t="shared" ref="E183:E185" si="857">NETWORKDAYS(G183,H183,S.DDL_DEQClosed)</f>
        <v>1</v>
      </c>
      <c r="F183" s="494">
        <f t="shared" ref="F183:F185" ca="1" si="858">NETWORKDAYS(TODAY(),H183)</f>
        <v>24</v>
      </c>
      <c r="G183" s="384">
        <f t="shared" ref="G183:G185" si="859">AAG183</f>
        <v>41414</v>
      </c>
      <c r="H183" s="370">
        <f t="shared" ref="H183:H185" si="860">AAH183</f>
        <v>41414</v>
      </c>
      <c r="I183" s="590"/>
      <c r="J183" s="47"/>
      <c r="K183" s="593"/>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90"/>
      <c r="AAB183"/>
      <c r="AAC183"/>
      <c r="AAD183" s="113"/>
      <c r="AAE183" s="554">
        <f t="shared" si="855"/>
        <v>1</v>
      </c>
      <c r="AAF183" s="113"/>
      <c r="AAG183" s="78">
        <f>H182</f>
        <v>41414</v>
      </c>
      <c r="AAH183" s="78">
        <f t="shared" ref="AAH183:AAH185" si="861">G183</f>
        <v>41414</v>
      </c>
      <c r="AAI183" s="77"/>
      <c r="AAJ183" s="77"/>
      <c r="AAK183" s="77"/>
      <c r="AAL183" s="56"/>
      <c r="AAM183" s="113"/>
      <c r="AAU183" s="44"/>
    </row>
    <row r="184" spans="1:723" s="23" customFormat="1" ht="15" hidden="1" customHeight="1" outlineLevel="2">
      <c r="A184" s="560"/>
      <c r="B184" s="405" t="str">
        <f ca="1">"Draft MINUTES."&amp;TEXT($G$166,"mm.dd.yy")&amp;""</f>
        <v>Draft MINUTES.04.17.13</v>
      </c>
      <c r="C184" s="232" t="s">
        <v>73</v>
      </c>
      <c r="D184" s="249" t="s">
        <v>161</v>
      </c>
      <c r="E184" s="369">
        <f t="shared" si="857"/>
        <v>1</v>
      </c>
      <c r="F184" s="494">
        <f t="shared" ca="1" si="858"/>
        <v>24</v>
      </c>
      <c r="G184" s="384">
        <f t="shared" si="859"/>
        <v>41414</v>
      </c>
      <c r="H184" s="370">
        <f t="shared" si="860"/>
        <v>41414</v>
      </c>
      <c r="I184" s="590"/>
      <c r="J184" s="47"/>
      <c r="K184" s="593"/>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90"/>
      <c r="AAB184"/>
      <c r="AAC184"/>
      <c r="AAD184" s="113"/>
      <c r="AAE184" s="554">
        <f t="shared" si="855"/>
        <v>1</v>
      </c>
      <c r="AAF184" s="113"/>
      <c r="AAG184" s="78">
        <f t="shared" ref="AAG184:AAG185" si="862">H183</f>
        <v>41414</v>
      </c>
      <c r="AAH184" s="78">
        <f t="shared" si="861"/>
        <v>41414</v>
      </c>
      <c r="AAI184" s="77"/>
      <c r="AAJ184" s="77"/>
      <c r="AAK184" s="77"/>
      <c r="AAL184" s="89" t="str">
        <f>"Draft "&amp;S.CodeName&amp;"MINUTES.mm.dd.yyy.2.00"</f>
        <v>Draft MINUTES.mm.dd.yyy.2.00</v>
      </c>
      <c r="AAM184" s="113"/>
      <c r="AAU184" s="44"/>
    </row>
    <row r="185" spans="1:723" s="23" customFormat="1" ht="15" hidden="1" customHeight="1" outlineLevel="2">
      <c r="A185" s="560"/>
      <c r="B185" s="244" t="s">
        <v>55</v>
      </c>
      <c r="C185" s="169"/>
      <c r="D185" s="170" t="s">
        <v>167</v>
      </c>
      <c r="E185" s="369">
        <f t="shared" si="857"/>
        <v>1</v>
      </c>
      <c r="F185" s="494">
        <f t="shared" ca="1" si="858"/>
        <v>24</v>
      </c>
      <c r="G185" s="384">
        <f t="shared" si="859"/>
        <v>41414</v>
      </c>
      <c r="H185" s="370">
        <f t="shared" si="860"/>
        <v>41414</v>
      </c>
      <c r="I185" s="590"/>
      <c r="J185" s="47"/>
      <c r="K185" s="593"/>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90"/>
      <c r="AAB185"/>
      <c r="AAC185"/>
      <c r="AAD185" s="113"/>
      <c r="AAE185" s="554">
        <f t="shared" si="855"/>
        <v>1</v>
      </c>
      <c r="AAF185" s="113"/>
      <c r="AAG185" s="78">
        <f t="shared" si="862"/>
        <v>41414</v>
      </c>
      <c r="AAH185" s="78">
        <f t="shared" si="861"/>
        <v>41414</v>
      </c>
      <c r="AAI185" s="77"/>
      <c r="AAJ185" s="77"/>
      <c r="AAK185" s="77"/>
      <c r="AAL185" s="56"/>
      <c r="AAM185" s="113"/>
      <c r="AAU185" s="44"/>
    </row>
    <row r="186" spans="1:723" s="23" customFormat="1" ht="18" customHeight="1" outlineLevel="1" collapsed="1">
      <c r="A186" s="560"/>
      <c r="B186" s="245" t="s">
        <v>157</v>
      </c>
      <c r="C186" s="169"/>
      <c r="D186" s="762"/>
      <c r="E186" s="762"/>
      <c r="F186" s="762"/>
      <c r="G186" s="407">
        <f ca="1">TODAY()</f>
        <v>41381</v>
      </c>
      <c r="H186" s="407" t="s">
        <v>220</v>
      </c>
      <c r="I186" s="590"/>
      <c r="J186" s="47"/>
      <c r="K186" s="593"/>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619"/>
      <c r="ZZ186" s="624"/>
      <c r="AAA186" s="590"/>
      <c r="AAB186"/>
      <c r="AAC186"/>
      <c r="AAD186" s="113"/>
      <c r="AAE186" s="554">
        <f t="shared" si="855"/>
        <v>1</v>
      </c>
      <c r="AAF186" s="585" t="s">
        <v>199</v>
      </c>
      <c r="AAG186" s="39" t="s">
        <v>0</v>
      </c>
      <c r="AAH186" s="39" t="s">
        <v>0</v>
      </c>
      <c r="AAI186" s="39"/>
      <c r="AAJ186" s="56"/>
      <c r="AAK186" s="56"/>
      <c r="AAL186" s="56"/>
      <c r="AAM186" s="113"/>
      <c r="AAU186" s="44"/>
    </row>
    <row r="187" spans="1:723" s="23" customFormat="1" ht="15" hidden="1" customHeight="1" outlineLevel="2">
      <c r="A187" s="560"/>
      <c r="B187" s="376" t="s">
        <v>59</v>
      </c>
      <c r="C187" s="169"/>
      <c r="D187" s="170" t="s">
        <v>167</v>
      </c>
      <c r="E187" s="369">
        <f t="shared" ref="E187" si="863">NETWORKDAYS(G187,H187,S.DDL_DEQClosed)</f>
        <v>1</v>
      </c>
      <c r="F187" s="494">
        <f t="shared" ref="F187" ca="1" si="864">NETWORKDAYS(TODAY(),H187)</f>
        <v>24</v>
      </c>
      <c r="G187" s="384">
        <f t="shared" ref="G187" si="865">AAG187</f>
        <v>41414</v>
      </c>
      <c r="H187" s="370">
        <f t="shared" ref="H187" si="866">AAH187</f>
        <v>41414</v>
      </c>
      <c r="I187" s="590"/>
      <c r="J187" s="47"/>
      <c r="K187" s="593"/>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50"/>
      <c r="ZZ187" s="50"/>
      <c r="AAA187" s="590"/>
      <c r="AAB187"/>
      <c r="AAC187"/>
      <c r="AAD187" s="113"/>
      <c r="AAE187" s="554">
        <f t="shared" si="855"/>
        <v>1</v>
      </c>
      <c r="AAF187" s="113"/>
      <c r="AAG187" s="78">
        <f>H184</f>
        <v>41414</v>
      </c>
      <c r="AAH187" s="78">
        <f t="shared" ref="AAH187" si="867">G187</f>
        <v>41414</v>
      </c>
      <c r="AAI187" s="77"/>
      <c r="AAJ187" s="77"/>
      <c r="AAK187" s="77"/>
      <c r="AAL187" s="56"/>
      <c r="AAM187" s="113"/>
      <c r="AAU187" s="44"/>
    </row>
    <row r="188" spans="1:723" s="23" customFormat="1" ht="15" hidden="1" customHeight="1" outlineLevel="2">
      <c r="A188" s="560"/>
      <c r="B188" s="377" t="s">
        <v>58</v>
      </c>
      <c r="C188" s="167"/>
      <c r="D188" s="398"/>
      <c r="E188" s="401"/>
      <c r="F188" s="401"/>
      <c r="G188" s="357"/>
      <c r="H188" s="402"/>
      <c r="I188" s="590"/>
      <c r="J188" s="47"/>
      <c r="K188" s="593"/>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619"/>
      <c r="ZZ188" s="624"/>
      <c r="AAA188" s="590"/>
      <c r="AAB188"/>
      <c r="AAC188"/>
      <c r="AAD188" s="113"/>
      <c r="AAE188" s="554">
        <f t="shared" si="855"/>
        <v>1</v>
      </c>
      <c r="AAF188" s="585" t="s">
        <v>199</v>
      </c>
      <c r="AAG188" s="63"/>
      <c r="AAH188" s="76"/>
      <c r="AAI188" s="77"/>
      <c r="AAJ188" s="77"/>
      <c r="AAK188" s="77"/>
      <c r="AAL188" s="56"/>
      <c r="AAM188" s="113"/>
      <c r="AAU188" s="44"/>
    </row>
    <row r="189" spans="1:723" s="23" customFormat="1" ht="15" hidden="1" customHeight="1" outlineLevel="2">
      <c r="A189" s="560"/>
      <c r="B189" s="378" t="str">
        <f ca="1">"Draft AGENDA."&amp;TEXT($G$186,"mm.dd.yy")&amp;""</f>
        <v>Draft AGENDA.04.17.13</v>
      </c>
      <c r="C189" s="232" t="s">
        <v>73</v>
      </c>
      <c r="D189" s="309" t="s">
        <v>57</v>
      </c>
      <c r="E189" s="369">
        <f t="shared" ref="E189:E193" si="868">NETWORKDAYS(G189,H189,S.DDL_DEQClosed)</f>
        <v>1</v>
      </c>
      <c r="F189" s="494">
        <f t="shared" ref="F189:F193" ca="1" si="869">NETWORKDAYS(TODAY(),H189)</f>
        <v>24</v>
      </c>
      <c r="G189" s="384">
        <f>AAG189</f>
        <v>41414</v>
      </c>
      <c r="H189" s="370">
        <f t="shared" ref="H189:H193" si="870">AAH189</f>
        <v>41414</v>
      </c>
      <c r="I189" s="590"/>
      <c r="J189" s="636"/>
      <c r="K189" s="593"/>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50"/>
      <c r="ZZ189" s="50"/>
      <c r="AAA189" s="590"/>
      <c r="AAB189"/>
      <c r="AAC189"/>
      <c r="AAD189" s="113"/>
      <c r="AAE189" s="554">
        <f t="shared" si="855"/>
        <v>1</v>
      </c>
      <c r="AAF189" s="113" t="s">
        <v>0</v>
      </c>
      <c r="AAG189" s="78">
        <f>H187</f>
        <v>41414</v>
      </c>
      <c r="AAH189" s="78">
        <f>G189</f>
        <v>41414</v>
      </c>
      <c r="AAI189" s="77"/>
      <c r="AAJ189" s="77"/>
      <c r="AAK189" s="77"/>
      <c r="AAL189" s="89" t="str">
        <f>"Draft "&amp;S.CodeName&amp;"AGENDA.mm.dd.yyyy.2.00"</f>
        <v>Draft AGENDA.mm.dd.yyyy.2.00</v>
      </c>
      <c r="AAM189" s="113"/>
      <c r="AAU189" s="44"/>
    </row>
    <row r="190" spans="1:723" s="23" customFormat="1" ht="15" hidden="1" customHeight="1" outlineLevel="2">
      <c r="A190" s="560"/>
      <c r="B190" s="392" t="s">
        <v>227</v>
      </c>
      <c r="C190" s="240"/>
      <c r="D190" s="309" t="s">
        <v>57</v>
      </c>
      <c r="E190" s="369">
        <f t="shared" si="868"/>
        <v>1</v>
      </c>
      <c r="F190" s="494">
        <f t="shared" ca="1" si="869"/>
        <v>24</v>
      </c>
      <c r="G190" s="384">
        <f t="shared" ref="G190:G193" si="871">AAG190</f>
        <v>41414</v>
      </c>
      <c r="H190" s="370">
        <f t="shared" si="870"/>
        <v>41414</v>
      </c>
      <c r="I190" s="590"/>
      <c r="J190" s="47"/>
      <c r="K190" s="593"/>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90"/>
      <c r="AAB190"/>
      <c r="AAC190"/>
      <c r="AAD190" s="113"/>
      <c r="AAE190" s="554">
        <f t="shared" si="855"/>
        <v>1</v>
      </c>
      <c r="AAF190" s="113" t="s">
        <v>0</v>
      </c>
      <c r="AAG190" s="78">
        <f>H189</f>
        <v>41414</v>
      </c>
      <c r="AAH190" s="78">
        <f t="shared" ref="AAH190:AAH193" si="872">G190</f>
        <v>41414</v>
      </c>
      <c r="AAI190" s="77"/>
      <c r="AAJ190" s="77"/>
      <c r="AAK190" s="77"/>
      <c r="AAL190" s="56"/>
      <c r="AAM190" s="113"/>
      <c r="AAU190" s="44"/>
    </row>
    <row r="191" spans="1:723" s="23" customFormat="1" ht="15" hidden="1" customHeight="1" outlineLevel="2">
      <c r="A191" s="560"/>
      <c r="B191" s="392" t="s">
        <v>227</v>
      </c>
      <c r="C191" s="240"/>
      <c r="D191" s="309" t="s">
        <v>57</v>
      </c>
      <c r="E191" s="369">
        <f t="shared" si="868"/>
        <v>1</v>
      </c>
      <c r="F191" s="494">
        <f t="shared" ca="1" si="869"/>
        <v>24</v>
      </c>
      <c r="G191" s="384">
        <f t="shared" si="871"/>
        <v>41414</v>
      </c>
      <c r="H191" s="370">
        <f t="shared" si="870"/>
        <v>41414</v>
      </c>
      <c r="I191" s="590"/>
      <c r="J191" s="47"/>
      <c r="K191" s="593"/>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90"/>
      <c r="AAB191"/>
      <c r="AAC191"/>
      <c r="AAD191" s="113"/>
      <c r="AAE191" s="554">
        <f t="shared" si="855"/>
        <v>1</v>
      </c>
      <c r="AAF191" s="113" t="s">
        <v>0</v>
      </c>
      <c r="AAG191" s="78">
        <f>H190</f>
        <v>41414</v>
      </c>
      <c r="AAH191" s="78">
        <f t="shared" si="872"/>
        <v>41414</v>
      </c>
      <c r="AAI191" s="77"/>
      <c r="AAJ191" s="77"/>
      <c r="AAK191" s="77"/>
      <c r="AAL191" s="56"/>
      <c r="AAM191" s="113"/>
      <c r="AAU191" s="44"/>
    </row>
    <row r="192" spans="1:723" s="23" customFormat="1" ht="15" hidden="1" customHeight="1" outlineLevel="2">
      <c r="A192" s="560"/>
      <c r="B192" s="392" t="s">
        <v>227</v>
      </c>
      <c r="C192" s="240"/>
      <c r="D192" s="309" t="s">
        <v>57</v>
      </c>
      <c r="E192" s="369">
        <f t="shared" si="868"/>
        <v>1</v>
      </c>
      <c r="F192" s="494">
        <f t="shared" ca="1" si="869"/>
        <v>24</v>
      </c>
      <c r="G192" s="384">
        <f t="shared" si="871"/>
        <v>41414</v>
      </c>
      <c r="H192" s="370">
        <f t="shared" si="870"/>
        <v>41414</v>
      </c>
      <c r="I192" s="590"/>
      <c r="J192" s="47"/>
      <c r="K192" s="593"/>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90"/>
      <c r="AAB192"/>
      <c r="AAC192"/>
      <c r="AAD192" s="113"/>
      <c r="AAE192" s="554">
        <f t="shared" si="855"/>
        <v>1</v>
      </c>
      <c r="AAF192" s="113" t="s">
        <v>0</v>
      </c>
      <c r="AAG192" s="78">
        <f>H191</f>
        <v>41414</v>
      </c>
      <c r="AAH192" s="78">
        <f t="shared" si="872"/>
        <v>41414</v>
      </c>
      <c r="AAI192" s="77"/>
      <c r="AAJ192" s="77"/>
      <c r="AAK192" s="77"/>
      <c r="AAL192" s="56"/>
      <c r="AAM192" s="113"/>
      <c r="AAU192" s="44"/>
    </row>
    <row r="193" spans="1:732" s="23" customFormat="1" ht="15" hidden="1" customHeight="1" outlineLevel="2">
      <c r="A193" s="560"/>
      <c r="B193" s="392" t="s">
        <v>227</v>
      </c>
      <c r="C193" s="240"/>
      <c r="D193" s="309" t="s">
        <v>57</v>
      </c>
      <c r="E193" s="369">
        <f t="shared" si="868"/>
        <v>1</v>
      </c>
      <c r="F193" s="494">
        <f t="shared" ca="1" si="869"/>
        <v>24</v>
      </c>
      <c r="G193" s="384">
        <f t="shared" si="871"/>
        <v>41414</v>
      </c>
      <c r="H193" s="370">
        <f t="shared" si="870"/>
        <v>41414</v>
      </c>
      <c r="I193" s="590"/>
      <c r="J193" s="47"/>
      <c r="K193" s="593"/>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90"/>
      <c r="AAB193"/>
      <c r="AAC193"/>
      <c r="AAD193" s="113"/>
      <c r="AAE193" s="554">
        <f t="shared" si="855"/>
        <v>1</v>
      </c>
      <c r="AAF193" s="113" t="s">
        <v>0</v>
      </c>
      <c r="AAG193" s="78">
        <f t="shared" ref="AAG193" si="873">H192</f>
        <v>41414</v>
      </c>
      <c r="AAH193" s="78">
        <f t="shared" si="872"/>
        <v>41414</v>
      </c>
      <c r="AAI193" s="77"/>
      <c r="AAJ193" s="77"/>
      <c r="AAK193" s="77"/>
      <c r="AAL193" s="56"/>
      <c r="AAM193" s="113"/>
      <c r="AAU193" s="44"/>
    </row>
    <row r="194" spans="1:732" s="23" customFormat="1" ht="15" hidden="1" customHeight="1" outlineLevel="2">
      <c r="A194" s="560"/>
      <c r="B194" s="393" t="s">
        <v>217</v>
      </c>
      <c r="C194" s="717"/>
      <c r="D194" s="399"/>
      <c r="E194" s="403"/>
      <c r="F194" s="403"/>
      <c r="G194" s="403"/>
      <c r="H194" s="403"/>
      <c r="I194" s="590"/>
      <c r="J194" s="47"/>
      <c r="K194" s="593"/>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619"/>
      <c r="ZZ194" s="624"/>
      <c r="AAA194" s="590"/>
      <c r="AAB194"/>
      <c r="AAC194"/>
      <c r="AAD194" s="113"/>
      <c r="AAE194" s="554">
        <f t="shared" si="855"/>
        <v>1</v>
      </c>
      <c r="AAF194" s="585" t="s">
        <v>199</v>
      </c>
      <c r="AAG194" s="39"/>
      <c r="AAH194" s="39"/>
      <c r="AAI194" s="77"/>
      <c r="AAJ194" s="77"/>
      <c r="AAK194" s="77"/>
      <c r="AAL194" s="56"/>
      <c r="AAM194" s="113"/>
      <c r="AAU194" s="44"/>
    </row>
    <row r="195" spans="1:732" s="23" customFormat="1" ht="15" hidden="1" customHeight="1" outlineLevel="2">
      <c r="A195" s="560"/>
      <c r="B195" s="394" t="str">
        <f ca="1">"Draft optional PRESENTATION."&amp;TEXT($G$166,"mm.dd.yy")&amp;""</f>
        <v>Draft optional PRESENTATION.04.17.13</v>
      </c>
      <c r="C195" s="232" t="s">
        <v>73</v>
      </c>
      <c r="D195" s="309" t="s">
        <v>57</v>
      </c>
      <c r="E195" s="369">
        <f t="shared" ref="E195:E198" si="874">NETWORKDAYS(G195,H195,S.DDL_DEQClosed)</f>
        <v>1</v>
      </c>
      <c r="F195" s="494">
        <f t="shared" ref="F195:F198" ca="1" si="875">NETWORKDAYS(TODAY(),H195)</f>
        <v>24</v>
      </c>
      <c r="G195" s="384">
        <f t="shared" ref="G195:G198" si="876">AAG195</f>
        <v>41414</v>
      </c>
      <c r="H195" s="370">
        <f t="shared" ref="H195:H198" si="877">AAH195</f>
        <v>41414</v>
      </c>
      <c r="I195" s="590"/>
      <c r="J195" s="47"/>
      <c r="K195" s="593"/>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50"/>
      <c r="ZZ195" s="50"/>
      <c r="AAA195" s="590"/>
      <c r="AAB195"/>
      <c r="AAC195"/>
      <c r="AAD195" s="113"/>
      <c r="AAE195" s="554">
        <f t="shared" si="855"/>
        <v>1</v>
      </c>
      <c r="AAF195" s="113" t="s">
        <v>0</v>
      </c>
      <c r="AAG195" s="78">
        <f>H193</f>
        <v>41414</v>
      </c>
      <c r="AAH195" s="78">
        <f t="shared" ref="AAH195:AAH198" si="878">G195</f>
        <v>41414</v>
      </c>
      <c r="AAI195" s="77"/>
      <c r="AAJ195" s="77"/>
      <c r="AAK195" s="77"/>
      <c r="AAL195" s="56"/>
      <c r="AAM195" s="113"/>
      <c r="AAU195" s="44"/>
    </row>
    <row r="196" spans="1:732" s="23" customFormat="1" ht="15" hidden="1" customHeight="1" outlineLevel="2">
      <c r="A196" s="560"/>
      <c r="B196" s="394" t="s">
        <v>231</v>
      </c>
      <c r="C196" s="240"/>
      <c r="D196" s="309" t="s">
        <v>57</v>
      </c>
      <c r="E196" s="369">
        <f t="shared" si="874"/>
        <v>1</v>
      </c>
      <c r="F196" s="494">
        <f t="shared" ca="1" si="875"/>
        <v>24</v>
      </c>
      <c r="G196" s="384">
        <f t="shared" si="876"/>
        <v>41414</v>
      </c>
      <c r="H196" s="370">
        <f t="shared" si="877"/>
        <v>41414</v>
      </c>
      <c r="I196" s="590"/>
      <c r="J196" s="47"/>
      <c r="K196" s="593"/>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90"/>
      <c r="AAB196"/>
      <c r="AAC196"/>
      <c r="AAD196" s="113"/>
      <c r="AAE196" s="554">
        <f t="shared" si="855"/>
        <v>1</v>
      </c>
      <c r="AAF196" s="113" t="s">
        <v>0</v>
      </c>
      <c r="AAG196" s="78">
        <f t="shared" ref="AAG196" si="879">H195</f>
        <v>41414</v>
      </c>
      <c r="AAH196" s="78">
        <f t="shared" si="878"/>
        <v>41414</v>
      </c>
      <c r="AAI196" s="77"/>
      <c r="AAJ196" s="77"/>
      <c r="AAK196" s="77"/>
      <c r="AAL196" s="56"/>
      <c r="AAM196" s="113"/>
      <c r="AAU196" s="44"/>
    </row>
    <row r="197" spans="1:732" s="23" customFormat="1" ht="15" hidden="1" customHeight="1" outlineLevel="2">
      <c r="A197" s="560"/>
      <c r="B197" s="394" t="s">
        <v>225</v>
      </c>
      <c r="C197" s="240"/>
      <c r="D197" s="309" t="s">
        <v>57</v>
      </c>
      <c r="E197" s="369">
        <f t="shared" si="874"/>
        <v>1</v>
      </c>
      <c r="F197" s="494">
        <f t="shared" ca="1" si="875"/>
        <v>24</v>
      </c>
      <c r="G197" s="384">
        <f t="shared" si="876"/>
        <v>41414</v>
      </c>
      <c r="H197" s="370">
        <f t="shared" si="877"/>
        <v>41414</v>
      </c>
      <c r="I197" s="590"/>
      <c r="J197" s="47"/>
      <c r="K197" s="593"/>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90"/>
      <c r="AAB197"/>
      <c r="AAC197"/>
      <c r="AAD197" s="113"/>
      <c r="AAE197" s="554">
        <f t="shared" si="855"/>
        <v>1</v>
      </c>
      <c r="AAF197" s="113" t="s">
        <v>0</v>
      </c>
      <c r="AAG197" s="78">
        <f>H196</f>
        <v>41414</v>
      </c>
      <c r="AAH197" s="78">
        <f t="shared" si="878"/>
        <v>41414</v>
      </c>
      <c r="AAI197" s="77"/>
      <c r="AAJ197" s="77"/>
      <c r="AAK197" s="77"/>
      <c r="AAL197" s="56"/>
      <c r="AAM197" s="113"/>
      <c r="AAU197" s="44"/>
    </row>
    <row r="198" spans="1:732" s="23" customFormat="1" ht="15" hidden="1" customHeight="1" outlineLevel="2">
      <c r="A198" s="560"/>
      <c r="B198" s="394" t="s">
        <v>226</v>
      </c>
      <c r="C198" s="240"/>
      <c r="D198" s="309" t="s">
        <v>57</v>
      </c>
      <c r="E198" s="369">
        <f t="shared" si="874"/>
        <v>1</v>
      </c>
      <c r="F198" s="494">
        <f t="shared" ca="1" si="875"/>
        <v>24</v>
      </c>
      <c r="G198" s="384">
        <f t="shared" si="876"/>
        <v>41414</v>
      </c>
      <c r="H198" s="370">
        <f t="shared" si="877"/>
        <v>41414</v>
      </c>
      <c r="I198" s="590"/>
      <c r="J198" s="47"/>
      <c r="K198" s="593"/>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90"/>
      <c r="AAB198"/>
      <c r="AAC198"/>
      <c r="AAD198" s="113"/>
      <c r="AAE198" s="554">
        <f t="shared" si="855"/>
        <v>1</v>
      </c>
      <c r="AAF198" s="113" t="s">
        <v>0</v>
      </c>
      <c r="AAG198" s="78">
        <f t="shared" ref="AAG198" si="880">H197</f>
        <v>41414</v>
      </c>
      <c r="AAH198" s="78">
        <f t="shared" si="878"/>
        <v>41414</v>
      </c>
      <c r="AAI198" s="77"/>
      <c r="AAJ198" s="77"/>
      <c r="AAK198" s="77"/>
      <c r="AAL198" s="56"/>
      <c r="AAM198" s="113"/>
      <c r="AAU198" s="44"/>
    </row>
    <row r="199" spans="1:732" s="23" customFormat="1" ht="15" hidden="1" customHeight="1" outlineLevel="2">
      <c r="A199" s="560"/>
      <c r="B199" s="395" t="s">
        <v>218</v>
      </c>
      <c r="C199" s="718"/>
      <c r="D199" s="387"/>
      <c r="E199" s="128"/>
      <c r="F199" s="128"/>
      <c r="G199" s="128"/>
      <c r="H199" s="128"/>
      <c r="I199" s="590"/>
      <c r="J199" s="47"/>
      <c r="K199" s="593"/>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619"/>
      <c r="ZZ199" s="624"/>
      <c r="AAA199" s="590"/>
      <c r="AAB199"/>
      <c r="AAC199"/>
      <c r="AAD199" s="113"/>
      <c r="AAE199" s="554">
        <f t="shared" si="855"/>
        <v>1</v>
      </c>
      <c r="AAF199" s="585" t="s">
        <v>199</v>
      </c>
      <c r="AAG199" s="39"/>
      <c r="AAH199" s="39"/>
      <c r="AAI199" s="77"/>
      <c r="AAJ199" s="77"/>
      <c r="AAK199" s="77"/>
      <c r="AAL199" s="56"/>
      <c r="AAM199" s="113"/>
      <c r="AAU199" s="44"/>
    </row>
    <row r="200" spans="1:732" s="23" customFormat="1" ht="15" hidden="1" customHeight="1" outlineLevel="2">
      <c r="A200" s="560"/>
      <c r="B200" s="378" t="str">
        <f ca="1">"Draft COMMITTEE.NOTICE."&amp;TEXT($G$186,"mm.dd.yy")&amp;""</f>
        <v>Draft COMMITTEE.NOTICE.04.17.13</v>
      </c>
      <c r="C200" s="240"/>
      <c r="D200" s="309" t="s">
        <v>161</v>
      </c>
      <c r="E200" s="369">
        <f t="shared" ref="E200" si="881">NETWORKDAYS(G200,H200,S.DDL_DEQClosed)</f>
        <v>1</v>
      </c>
      <c r="F200" s="494">
        <f t="shared" ref="F200" ca="1" si="882">NETWORKDAYS(TODAY(),H200)</f>
        <v>24</v>
      </c>
      <c r="G200" s="384">
        <f t="shared" ref="G200" si="883">AAG200</f>
        <v>41414</v>
      </c>
      <c r="H200" s="370">
        <f t="shared" ref="H200" si="884">AAH200</f>
        <v>41414</v>
      </c>
      <c r="I200" s="590"/>
      <c r="J200" s="47"/>
      <c r="K200" s="593"/>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50"/>
      <c r="ZZ200" s="50"/>
      <c r="AAA200" s="590"/>
      <c r="AAB200"/>
      <c r="AAC200"/>
      <c r="AAD200" s="113"/>
      <c r="AAE200" s="554">
        <f t="shared" si="855"/>
        <v>1</v>
      </c>
      <c r="AAF200" s="113" t="s">
        <v>0</v>
      </c>
      <c r="AAG200" s="78">
        <f>H198</f>
        <v>41414</v>
      </c>
      <c r="AAH200" s="78">
        <f t="shared" ref="AAH200" si="885">G200</f>
        <v>41414</v>
      </c>
      <c r="AAI200" s="77"/>
      <c r="AAJ200" s="77"/>
      <c r="AAK200" s="77"/>
      <c r="AAL200" s="89" t="str">
        <f>"Draft "&amp;S.CodeName&amp;"COMMITTEE.NOTICE.mm.dd.yyyy.2.00"</f>
        <v>Draft COMMITTEE.NOTICE.mm.dd.yyyy.2.00</v>
      </c>
      <c r="AAM200" s="113"/>
      <c r="AAU200" s="44"/>
    </row>
    <row r="201" spans="1:732" s="23" customFormat="1" ht="15" hidden="1" customHeight="1" outlineLevel="2">
      <c r="A201" s="560"/>
      <c r="B201" s="396" t="s">
        <v>23</v>
      </c>
      <c r="C201" s="246"/>
      <c r="D201" s="198"/>
      <c r="E201" s="346"/>
      <c r="F201" s="367"/>
      <c r="G201" s="404" t="s">
        <v>0</v>
      </c>
      <c r="H201" s="402"/>
      <c r="I201" s="590"/>
      <c r="J201" s="47"/>
      <c r="K201" s="593"/>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619"/>
      <c r="ZZ201" s="624"/>
      <c r="AAA201" s="590"/>
      <c r="AAB201"/>
      <c r="AAC201"/>
      <c r="AAD201" s="113"/>
      <c r="AAE201" s="554">
        <f t="shared" si="855"/>
        <v>1</v>
      </c>
      <c r="AAF201" s="585" t="s">
        <v>199</v>
      </c>
      <c r="AAG201" s="63"/>
      <c r="AAH201" s="76" t="s">
        <v>0</v>
      </c>
      <c r="AAI201" s="77"/>
      <c r="AAJ201" s="77"/>
      <c r="AAK201" s="77"/>
      <c r="AAL201" s="56"/>
      <c r="AAM201" s="113"/>
      <c r="AAU201" s="44"/>
    </row>
    <row r="202" spans="1:732" s="23" customFormat="1" ht="15" hidden="1" customHeight="1" outlineLevel="2">
      <c r="A202" s="560"/>
      <c r="B202" s="388" t="s">
        <v>230</v>
      </c>
      <c r="C202" s="169"/>
      <c r="D202" s="309" t="s">
        <v>176</v>
      </c>
      <c r="E202" s="369">
        <f>NETWORKDAYS(G202,H202,S.DDL_DEQClosed)</f>
        <v>1</v>
      </c>
      <c r="F202" s="494">
        <f ca="1">NETWORKDAYS(TODAY(),H202)</f>
        <v>24</v>
      </c>
      <c r="G202" s="384">
        <f>AAG202</f>
        <v>41414</v>
      </c>
      <c r="H202" s="370">
        <f>AAH202</f>
        <v>41414</v>
      </c>
      <c r="I202" s="590"/>
      <c r="J202" s="47"/>
      <c r="K202" s="593"/>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50"/>
      <c r="ZZ202" s="50"/>
      <c r="AAA202" s="590"/>
      <c r="AAB202"/>
      <c r="AAC202"/>
      <c r="AAD202" s="113"/>
      <c r="AAE202" s="554">
        <f t="shared" si="855"/>
        <v>1</v>
      </c>
      <c r="AAF202" s="113"/>
      <c r="AAG202" s="78">
        <f>H200</f>
        <v>41414</v>
      </c>
      <c r="AAH202" s="78">
        <f>G202</f>
        <v>41414</v>
      </c>
      <c r="AAI202" s="77"/>
      <c r="AAJ202" s="77"/>
      <c r="AAK202" s="77"/>
      <c r="AAL202" s="56"/>
      <c r="AAM202" s="113"/>
      <c r="AAU202" s="44"/>
    </row>
    <row r="203" spans="1:732" s="23" customFormat="1" ht="15" hidden="1" customHeight="1" outlineLevel="2">
      <c r="A203" s="560"/>
      <c r="B203" s="388" t="s">
        <v>56</v>
      </c>
      <c r="C203" s="169"/>
      <c r="D203" s="309" t="s">
        <v>167</v>
      </c>
      <c r="E203" s="369">
        <f t="shared" ref="E203:E205" si="886">NETWORKDAYS(G203,H203,S.DDL_DEQClosed)</f>
        <v>1</v>
      </c>
      <c r="F203" s="494">
        <f t="shared" ref="F203:F205" ca="1" si="887">NETWORKDAYS(TODAY(),H203)</f>
        <v>24</v>
      </c>
      <c r="G203" s="384">
        <f t="shared" ref="G203:G205" si="888">AAG203</f>
        <v>41414</v>
      </c>
      <c r="H203" s="370">
        <f t="shared" ref="H203:H205" si="889">AAH203</f>
        <v>41414</v>
      </c>
      <c r="I203" s="590"/>
      <c r="J203" s="47"/>
      <c r="K203" s="593"/>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90"/>
      <c r="AAB203"/>
      <c r="AAC203"/>
      <c r="AAD203" s="113"/>
      <c r="AAE203" s="554">
        <f t="shared" si="855"/>
        <v>1</v>
      </c>
      <c r="AAF203" s="113"/>
      <c r="AAG203" s="78">
        <f>H202</f>
        <v>41414</v>
      </c>
      <c r="AAH203" s="78">
        <f t="shared" ref="AAH203:AAH205" si="890">G203</f>
        <v>41414</v>
      </c>
      <c r="AAI203" s="77"/>
      <c r="AAJ203" s="77"/>
      <c r="AAK203" s="77"/>
      <c r="AAL203" s="56"/>
      <c r="AAM203" s="113"/>
      <c r="AAU203" s="44"/>
    </row>
    <row r="204" spans="1:732" s="23" customFormat="1" ht="15" hidden="1" customHeight="1" outlineLevel="2">
      <c r="A204" s="560"/>
      <c r="B204" s="405" t="str">
        <f ca="1">"Draft MINUTES."&amp;TEXT($G$186,"mm.dd.yy")&amp;""</f>
        <v>Draft MINUTES.04.17.13</v>
      </c>
      <c r="C204" s="232" t="s">
        <v>73</v>
      </c>
      <c r="D204" s="279" t="s">
        <v>161</v>
      </c>
      <c r="E204" s="369">
        <f t="shared" si="886"/>
        <v>1</v>
      </c>
      <c r="F204" s="494">
        <f t="shared" ca="1" si="887"/>
        <v>24</v>
      </c>
      <c r="G204" s="384">
        <f t="shared" si="888"/>
        <v>41414</v>
      </c>
      <c r="H204" s="370">
        <f t="shared" si="889"/>
        <v>41414</v>
      </c>
      <c r="I204" s="590"/>
      <c r="J204" s="47"/>
      <c r="K204" s="593"/>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90"/>
      <c r="AAB204"/>
      <c r="AAC204"/>
      <c r="AAD204" s="113"/>
      <c r="AAE204" s="554">
        <f t="shared" si="855"/>
        <v>1</v>
      </c>
      <c r="AAF204" s="113"/>
      <c r="AAG204" s="78">
        <f t="shared" ref="AAG204:AAG205" si="891">H203</f>
        <v>41414</v>
      </c>
      <c r="AAH204" s="78">
        <f t="shared" si="890"/>
        <v>41414</v>
      </c>
      <c r="AAI204" s="77"/>
      <c r="AAJ204" s="77"/>
      <c r="AAK204" s="77"/>
      <c r="AAL204" s="89" t="str">
        <f>"Draft "&amp;S.CodeName&amp;"MINUTES.mm.dd.yyy.2.00"</f>
        <v>Draft MINUTES.mm.dd.yyy.2.00</v>
      </c>
      <c r="AAM204" s="113"/>
      <c r="AAU204" s="44"/>
    </row>
    <row r="205" spans="1:732" s="23" customFormat="1" ht="15" hidden="1" customHeight="1" outlineLevel="2">
      <c r="A205" s="560"/>
      <c r="B205" s="388" t="s">
        <v>55</v>
      </c>
      <c r="C205" s="169"/>
      <c r="D205" s="309" t="s">
        <v>167</v>
      </c>
      <c r="E205" s="369">
        <f t="shared" si="886"/>
        <v>1</v>
      </c>
      <c r="F205" s="494">
        <f t="shared" ca="1" si="887"/>
        <v>24</v>
      </c>
      <c r="G205" s="384">
        <f t="shared" si="888"/>
        <v>41414</v>
      </c>
      <c r="H205" s="370">
        <f t="shared" si="889"/>
        <v>41414</v>
      </c>
      <c r="I205" s="590"/>
      <c r="J205" s="47"/>
      <c r="K205" s="593"/>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90"/>
      <c r="AAB205"/>
      <c r="AAC205"/>
      <c r="AAD205" s="113"/>
      <c r="AAE205" s="554">
        <f t="shared" si="855"/>
        <v>1</v>
      </c>
      <c r="AAF205" s="113"/>
      <c r="AAG205" s="78">
        <f t="shared" si="891"/>
        <v>41414</v>
      </c>
      <c r="AAH205" s="78">
        <f t="shared" si="890"/>
        <v>41414</v>
      </c>
      <c r="AAI205" s="77"/>
      <c r="AAJ205" s="77"/>
      <c r="AAK205" s="77"/>
      <c r="AAL205" s="56"/>
      <c r="AAM205" s="113"/>
      <c r="AAU205" s="44"/>
      <c r="AAV205"/>
      <c r="AAW205"/>
      <c r="AAX205"/>
      <c r="AAY205"/>
      <c r="AAZ205"/>
      <c r="ABA205"/>
      <c r="ABB205"/>
      <c r="ABC205"/>
      <c r="ABD205"/>
    </row>
    <row r="206" spans="1:732" s="23" customFormat="1" ht="15" customHeight="1" outlineLevel="1" collapsed="1">
      <c r="A206" s="560"/>
      <c r="B206" s="244"/>
      <c r="C206" s="169"/>
      <c r="D206" s="309"/>
      <c r="E206" s="124"/>
      <c r="F206" s="125"/>
      <c r="G206" s="142"/>
      <c r="H206" s="228"/>
      <c r="I206" s="590"/>
      <c r="J206" s="593"/>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619"/>
      <c r="ZZ206" s="624"/>
      <c r="AAA206" s="590"/>
      <c r="AAB206"/>
      <c r="AAC206"/>
      <c r="AAD206" s="113"/>
      <c r="AAE206" s="554"/>
      <c r="AAF206" s="585" t="s">
        <v>199</v>
      </c>
      <c r="AAG206" s="63"/>
      <c r="AAH206" s="63"/>
      <c r="AAI206" s="77"/>
      <c r="AAJ206" s="77"/>
      <c r="AAK206" s="77"/>
      <c r="AAL206" s="56"/>
      <c r="AAM206" s="113"/>
      <c r="AAU206" s="44"/>
      <c r="AAV206"/>
      <c r="AAW206"/>
      <c r="AAX206"/>
      <c r="AAY206"/>
      <c r="AAZ206"/>
      <c r="ABA206"/>
      <c r="ABB206"/>
      <c r="ABC206"/>
      <c r="ABD206"/>
    </row>
    <row r="207" spans="1:732" ht="6" customHeight="1">
      <c r="A207" s="560"/>
      <c r="B207" s="250"/>
      <c r="C207" s="171"/>
      <c r="D207" s="172"/>
      <c r="E207" s="173"/>
      <c r="F207" s="173"/>
      <c r="G207" s="172"/>
      <c r="H207" s="172"/>
      <c r="I207" s="590"/>
      <c r="J207" s="593"/>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9"/>
      <c r="ZZ207" s="624"/>
      <c r="AAA207" s="590"/>
      <c r="AAD207" s="113"/>
      <c r="AAE207" s="553" t="s">
        <v>28</v>
      </c>
      <c r="AAF207" s="585" t="s">
        <v>199</v>
      </c>
      <c r="AAG207" s="63"/>
      <c r="AAH207" s="63"/>
      <c r="AAI207" s="77"/>
      <c r="AAJ207" s="77"/>
      <c r="AAK207" s="77"/>
      <c r="AAL207" s="56"/>
      <c r="AAM207" s="113"/>
      <c r="AAN207"/>
      <c r="AAT207" s="23"/>
      <c r="AAU207" s="44"/>
    </row>
    <row r="208" spans="1:732" s="23" customFormat="1" ht="18" customHeight="1">
      <c r="A208" s="560"/>
      <c r="B208" s="761" t="str">
        <f>AAL208</f>
        <v>3-Fees Involved</v>
      </c>
      <c r="C208" s="761"/>
      <c r="D208" s="761"/>
      <c r="E208" s="761"/>
      <c r="F208" s="761"/>
      <c r="G208" s="761"/>
      <c r="H208" s="761"/>
      <c r="I208" s="629"/>
      <c r="J208" s="595"/>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c r="JL208" s="48"/>
      <c r="JM208" s="48"/>
      <c r="JN208" s="48"/>
      <c r="JO208" s="48"/>
      <c r="JP208" s="48"/>
      <c r="JQ208" s="48"/>
      <c r="JR208" s="48"/>
      <c r="JS208" s="48"/>
      <c r="JT208" s="48"/>
      <c r="JU208" s="48"/>
      <c r="JV208" s="48"/>
      <c r="JW208" s="48"/>
      <c r="JX208" s="48"/>
      <c r="JY208" s="48"/>
      <c r="JZ208" s="48"/>
      <c r="KA208" s="48"/>
      <c r="KB208" s="48"/>
      <c r="KC208" s="48"/>
      <c r="KD208" s="48"/>
      <c r="KE208" s="48"/>
      <c r="KF208" s="48"/>
      <c r="KG208" s="48"/>
      <c r="KH208" s="48"/>
      <c r="KI208" s="48"/>
      <c r="KJ208" s="48"/>
      <c r="KK208" s="48"/>
      <c r="KL208" s="48"/>
      <c r="KM208" s="48"/>
      <c r="KN208" s="48"/>
      <c r="KO208" s="48"/>
      <c r="KP208" s="48"/>
      <c r="KQ208" s="48"/>
      <c r="KR208" s="48"/>
      <c r="KS208" s="48"/>
      <c r="KT208" s="48"/>
      <c r="KU208" s="48"/>
      <c r="KV208" s="48"/>
      <c r="KW208" s="48"/>
      <c r="KX208" s="48"/>
      <c r="KY208" s="48"/>
      <c r="KZ208" s="48"/>
      <c r="LA208" s="48"/>
      <c r="LB208" s="48"/>
      <c r="LC208" s="48"/>
      <c r="LD208" s="48"/>
      <c r="LE208" s="48"/>
      <c r="LF208" s="48"/>
      <c r="LG208" s="48"/>
      <c r="LH208" s="48"/>
      <c r="LI208" s="48"/>
      <c r="LJ208" s="48"/>
      <c r="LK208" s="48"/>
      <c r="LL208" s="48"/>
      <c r="LM208" s="48"/>
      <c r="LN208" s="48"/>
      <c r="LO208" s="48"/>
      <c r="LP208" s="48"/>
      <c r="LQ208" s="48"/>
      <c r="LR208" s="48"/>
      <c r="LS208" s="48"/>
      <c r="LT208" s="48"/>
      <c r="LU208" s="48"/>
      <c r="LV208" s="48"/>
      <c r="LW208" s="48"/>
      <c r="LX208" s="48"/>
      <c r="LY208" s="48"/>
      <c r="LZ208" s="48"/>
      <c r="MA208" s="48"/>
      <c r="MB208" s="48"/>
      <c r="MC208" s="48"/>
      <c r="MD208" s="48"/>
      <c r="ME208" s="48"/>
      <c r="MF208" s="48"/>
      <c r="MG208" s="48"/>
      <c r="MH208" s="48"/>
      <c r="MI208" s="48"/>
      <c r="MJ208" s="48"/>
      <c r="MK208" s="48"/>
      <c r="ML208" s="48"/>
      <c r="MM208" s="48"/>
      <c r="MN208" s="48"/>
      <c r="MO208" s="48"/>
      <c r="MP208" s="48"/>
      <c r="MQ208" s="48"/>
      <c r="MR208" s="48"/>
      <c r="MS208" s="48"/>
      <c r="MT208" s="48"/>
      <c r="MU208" s="48"/>
      <c r="MV208" s="48"/>
      <c r="MW208" s="48"/>
      <c r="MX208" s="48"/>
      <c r="MY208" s="48"/>
      <c r="MZ208" s="48"/>
      <c r="NA208" s="48"/>
      <c r="NB208" s="48"/>
      <c r="NC208" s="48"/>
      <c r="ND208" s="48"/>
      <c r="NE208" s="48"/>
      <c r="NF208" s="48"/>
      <c r="NG208" s="48"/>
      <c r="NH208" s="48"/>
      <c r="NI208" s="48"/>
      <c r="NJ208" s="48"/>
      <c r="NK208" s="48"/>
      <c r="NL208" s="48"/>
      <c r="NM208" s="48"/>
      <c r="NN208" s="48"/>
      <c r="NO208" s="48"/>
      <c r="NP208" s="48"/>
      <c r="NQ208" s="48"/>
      <c r="NR208" s="48"/>
      <c r="NS208" s="48"/>
      <c r="NT208" s="48"/>
      <c r="NU208" s="48"/>
      <c r="NV208" s="48"/>
      <c r="NW208" s="48"/>
      <c r="NX208" s="48"/>
      <c r="NY208" s="48"/>
      <c r="NZ208" s="48"/>
      <c r="OA208" s="48"/>
      <c r="OB208" s="48"/>
      <c r="OC208" s="48"/>
      <c r="OD208" s="48"/>
      <c r="OE208" s="48"/>
      <c r="OF208" s="48"/>
      <c r="OG208" s="48"/>
      <c r="OH208" s="48"/>
      <c r="OI208" s="48"/>
      <c r="OJ208" s="48"/>
      <c r="OK208" s="48"/>
      <c r="OL208" s="48"/>
      <c r="OM208" s="48"/>
      <c r="ON208" s="48"/>
      <c r="OO208" s="48"/>
      <c r="OP208" s="48"/>
      <c r="OQ208" s="48"/>
      <c r="OR208" s="48"/>
      <c r="OS208" s="48"/>
      <c r="OT208" s="48"/>
      <c r="OU208" s="48"/>
      <c r="OV208" s="48"/>
      <c r="OW208" s="48"/>
      <c r="OX208" s="48"/>
      <c r="OY208" s="48"/>
      <c r="OZ208" s="48"/>
      <c r="PA208" s="48"/>
      <c r="PB208" s="48"/>
      <c r="PC208" s="48"/>
      <c r="PD208" s="48"/>
      <c r="PE208" s="48"/>
      <c r="PF208" s="48"/>
      <c r="PG208" s="48"/>
      <c r="PH208" s="48"/>
      <c r="PI208" s="48"/>
      <c r="PJ208" s="48"/>
      <c r="PK208" s="48"/>
      <c r="PL208" s="48"/>
      <c r="PM208" s="48"/>
      <c r="PN208" s="48"/>
      <c r="PO208" s="48"/>
      <c r="PP208" s="48"/>
      <c r="PQ208" s="48"/>
      <c r="PR208" s="48"/>
      <c r="PS208" s="48"/>
      <c r="PT208" s="48"/>
      <c r="PU208" s="48"/>
      <c r="PV208" s="48"/>
      <c r="PW208" s="48"/>
      <c r="PX208" s="48"/>
      <c r="PY208" s="48"/>
      <c r="PZ208" s="48"/>
      <c r="QA208" s="48"/>
      <c r="QB208" s="48"/>
      <c r="QC208" s="48"/>
      <c r="QD208" s="48"/>
      <c r="QE208" s="48"/>
      <c r="QF208" s="48"/>
      <c r="QG208" s="48"/>
      <c r="QH208" s="48"/>
      <c r="QI208" s="48"/>
      <c r="QJ208" s="48"/>
      <c r="QK208" s="48"/>
      <c r="QL208" s="48"/>
      <c r="QM208" s="48"/>
      <c r="QN208" s="48"/>
      <c r="QO208" s="48"/>
      <c r="QP208" s="48"/>
      <c r="QQ208" s="48"/>
      <c r="QR208" s="48"/>
      <c r="QS208" s="48"/>
      <c r="QT208" s="48"/>
      <c r="QU208" s="48"/>
      <c r="QV208" s="48"/>
      <c r="QW208" s="48"/>
      <c r="QX208" s="48"/>
      <c r="QY208" s="48"/>
      <c r="QZ208" s="48"/>
      <c r="RA208" s="48"/>
      <c r="RB208" s="48"/>
      <c r="RC208" s="48"/>
      <c r="RD208" s="48"/>
      <c r="RE208" s="48"/>
      <c r="RF208" s="48"/>
      <c r="RG208" s="48"/>
      <c r="RH208" s="48"/>
      <c r="RI208" s="48"/>
      <c r="RJ208" s="48"/>
      <c r="RK208" s="48"/>
      <c r="RL208" s="48"/>
      <c r="RM208" s="48"/>
      <c r="RN208" s="48"/>
      <c r="RO208" s="48"/>
      <c r="RP208" s="48"/>
      <c r="RQ208" s="48"/>
      <c r="RR208" s="48"/>
      <c r="RS208" s="48"/>
      <c r="RT208" s="48"/>
      <c r="RU208" s="48"/>
      <c r="RV208" s="48"/>
      <c r="RW208" s="48"/>
      <c r="RX208" s="48"/>
      <c r="RY208" s="48"/>
      <c r="RZ208" s="48"/>
      <c r="SA208" s="48"/>
      <c r="SB208" s="48"/>
      <c r="SC208" s="48"/>
      <c r="SD208" s="48"/>
      <c r="SE208" s="48"/>
      <c r="SF208" s="48"/>
      <c r="SG208" s="48"/>
      <c r="SH208" s="48"/>
      <c r="SI208" s="48"/>
      <c r="SJ208" s="48"/>
      <c r="SK208" s="48"/>
      <c r="SL208" s="48"/>
      <c r="SM208" s="48"/>
      <c r="SN208" s="48"/>
      <c r="SO208" s="48"/>
      <c r="SP208" s="48"/>
      <c r="SQ208" s="48"/>
      <c r="SR208" s="48"/>
      <c r="SS208" s="48"/>
      <c r="ST208" s="48"/>
      <c r="SU208" s="48"/>
      <c r="SV208" s="48"/>
      <c r="SW208" s="48"/>
      <c r="SX208" s="48"/>
      <c r="SY208" s="48"/>
      <c r="SZ208" s="48"/>
      <c r="TA208" s="48"/>
      <c r="TB208" s="48"/>
      <c r="TC208" s="48"/>
      <c r="TD208" s="48"/>
      <c r="TE208" s="48"/>
      <c r="TF208" s="48"/>
      <c r="TG208" s="48"/>
      <c r="TH208" s="48"/>
      <c r="TI208" s="48"/>
      <c r="TJ208" s="48"/>
      <c r="TK208" s="48"/>
      <c r="TL208" s="48"/>
      <c r="TM208" s="48"/>
      <c r="TN208" s="48"/>
      <c r="TO208" s="48"/>
      <c r="TP208" s="48"/>
      <c r="TQ208" s="48"/>
      <c r="TR208" s="48"/>
      <c r="TS208" s="48"/>
      <c r="TT208" s="48"/>
      <c r="TU208" s="48"/>
      <c r="TV208" s="48"/>
      <c r="TW208" s="48"/>
      <c r="TX208" s="48"/>
      <c r="TY208" s="48"/>
      <c r="TZ208" s="48"/>
      <c r="UA208" s="48"/>
      <c r="UB208" s="48"/>
      <c r="UC208" s="48"/>
      <c r="UD208" s="48"/>
      <c r="UE208" s="48"/>
      <c r="UF208" s="48"/>
      <c r="UG208" s="48"/>
      <c r="UH208" s="48"/>
      <c r="UI208" s="48"/>
      <c r="UJ208" s="48"/>
      <c r="UK208" s="48"/>
      <c r="UL208" s="48"/>
      <c r="UM208" s="48"/>
      <c r="UN208" s="48"/>
      <c r="UO208" s="48"/>
      <c r="UP208" s="48"/>
      <c r="UQ208" s="48"/>
      <c r="UR208" s="48"/>
      <c r="US208" s="48"/>
      <c r="UT208" s="48"/>
      <c r="UU208" s="48"/>
      <c r="UV208" s="48"/>
      <c r="UW208" s="48"/>
      <c r="UX208" s="48"/>
      <c r="UY208" s="48"/>
      <c r="UZ208" s="48"/>
      <c r="VA208" s="48"/>
      <c r="VB208" s="48"/>
      <c r="VC208" s="48"/>
      <c r="VD208" s="48"/>
      <c r="VE208" s="48"/>
      <c r="VF208" s="48"/>
      <c r="VG208" s="48"/>
      <c r="VH208" s="48"/>
      <c r="VI208" s="48"/>
      <c r="VJ208" s="48"/>
      <c r="VK208" s="48"/>
      <c r="VL208" s="48"/>
      <c r="VM208" s="48"/>
      <c r="VN208" s="48"/>
      <c r="VO208" s="48"/>
      <c r="VP208" s="48"/>
      <c r="VQ208" s="48"/>
      <c r="VR208" s="48"/>
      <c r="VS208" s="48"/>
      <c r="VT208" s="48"/>
      <c r="VU208" s="48"/>
      <c r="VV208" s="48"/>
      <c r="VW208" s="48"/>
      <c r="VX208" s="48"/>
      <c r="VY208" s="48"/>
      <c r="VZ208" s="48"/>
      <c r="WA208" s="48"/>
      <c r="WB208" s="48"/>
      <c r="WC208" s="48"/>
      <c r="WD208" s="48"/>
      <c r="WE208" s="48"/>
      <c r="WF208" s="48"/>
      <c r="WG208" s="48"/>
      <c r="WH208" s="48"/>
      <c r="WI208" s="48"/>
      <c r="WJ208" s="48"/>
      <c r="WK208" s="48"/>
      <c r="WL208" s="48"/>
      <c r="WM208" s="48"/>
      <c r="WN208" s="48"/>
      <c r="WO208" s="48"/>
      <c r="WP208" s="48"/>
      <c r="WQ208" s="48"/>
      <c r="WR208" s="48"/>
      <c r="WS208" s="48"/>
      <c r="WT208" s="48"/>
      <c r="WU208" s="48"/>
      <c r="WV208" s="48"/>
      <c r="WW208" s="48"/>
      <c r="WX208" s="48"/>
      <c r="WY208" s="48"/>
      <c r="WZ208" s="48"/>
      <c r="XA208" s="48"/>
      <c r="XB208" s="48"/>
      <c r="XC208" s="48"/>
      <c r="XD208" s="48"/>
      <c r="XE208" s="48"/>
      <c r="XF208" s="48"/>
      <c r="XG208" s="48"/>
      <c r="XH208" s="48"/>
      <c r="XI208" s="48"/>
      <c r="XJ208" s="48"/>
      <c r="XK208" s="48"/>
      <c r="XL208" s="48"/>
      <c r="XM208" s="48"/>
      <c r="XN208" s="48"/>
      <c r="XO208" s="48"/>
      <c r="XP208" s="48"/>
      <c r="XQ208" s="48"/>
      <c r="XR208" s="48"/>
      <c r="XS208" s="48"/>
      <c r="XT208" s="48"/>
      <c r="XU208" s="48"/>
      <c r="XV208" s="48"/>
      <c r="XW208" s="48"/>
      <c r="XX208" s="48"/>
      <c r="XY208" s="48"/>
      <c r="XZ208" s="48"/>
      <c r="YA208" s="48"/>
      <c r="YB208" s="48"/>
      <c r="YC208" s="48"/>
      <c r="YD208" s="48"/>
      <c r="YE208" s="48"/>
      <c r="YF208" s="48"/>
      <c r="YG208" s="48"/>
      <c r="YH208" s="48"/>
      <c r="YI208" s="48"/>
      <c r="YJ208" s="48"/>
      <c r="YK208" s="48"/>
      <c r="YL208" s="48"/>
      <c r="YM208" s="48"/>
      <c r="YN208" s="48"/>
      <c r="YO208" s="48"/>
      <c r="YP208" s="48"/>
      <c r="YQ208" s="48"/>
      <c r="YR208" s="48"/>
      <c r="YS208" s="48"/>
      <c r="YT208" s="48"/>
      <c r="YU208" s="48"/>
      <c r="YV208" s="48"/>
      <c r="YW208" s="48"/>
      <c r="YX208" s="48"/>
      <c r="YY208" s="48"/>
      <c r="YZ208" s="48"/>
      <c r="ZA208" s="48"/>
      <c r="ZB208" s="48"/>
      <c r="ZC208" s="48"/>
      <c r="ZD208" s="48"/>
      <c r="ZE208" s="48"/>
      <c r="ZF208" s="48"/>
      <c r="ZG208" s="48"/>
      <c r="ZH208" s="48"/>
      <c r="ZI208" s="48"/>
      <c r="ZJ208" s="48"/>
      <c r="ZK208" s="48"/>
      <c r="ZL208" s="48"/>
      <c r="ZM208" s="48"/>
      <c r="ZN208" s="48"/>
      <c r="ZO208" s="48"/>
      <c r="ZP208" s="48"/>
      <c r="ZQ208" s="48"/>
      <c r="ZR208" s="48"/>
      <c r="ZS208" s="48"/>
      <c r="ZT208" s="48"/>
      <c r="ZU208" s="48"/>
      <c r="ZV208" s="48"/>
      <c r="ZW208" s="48"/>
      <c r="ZX208" s="48"/>
      <c r="ZY208" s="621"/>
      <c r="ZZ208" s="120"/>
      <c r="AAA208" s="590"/>
      <c r="AAB208"/>
      <c r="AAC208"/>
      <c r="AAD208" s="113"/>
      <c r="AAE208" s="553" t="s">
        <v>29</v>
      </c>
      <c r="AAF208" s="585" t="s">
        <v>199</v>
      </c>
      <c r="AAG208" s="113"/>
      <c r="AAH208" s="113"/>
      <c r="AAI208" s="77"/>
      <c r="AAJ208" s="90"/>
      <c r="AAK208" s="90"/>
      <c r="AAL208" s="659" t="str">
        <f>AAL21</f>
        <v>3-Fees Involved</v>
      </c>
      <c r="AAM208" s="113"/>
      <c r="AAU208" s="44"/>
    </row>
    <row r="209" spans="1:732" s="23" customFormat="1" ht="18" customHeight="1">
      <c r="A209" s="560"/>
      <c r="B209" s="223" t="s">
        <v>15</v>
      </c>
      <c r="C209" s="711"/>
      <c r="D209" s="151" t="s">
        <v>272</v>
      </c>
      <c r="E209" s="152" t="s">
        <v>15</v>
      </c>
      <c r="F209" s="236" t="s">
        <v>2</v>
      </c>
      <c r="G209" s="153" t="s">
        <v>279</v>
      </c>
      <c r="H209" s="153" t="s">
        <v>91</v>
      </c>
      <c r="I209" s="629"/>
      <c r="J209" s="595"/>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21"/>
      <c r="ZZ209" s="120"/>
      <c r="AAA209" s="590"/>
      <c r="AAB209"/>
      <c r="AAC209"/>
      <c r="AAD209" s="113"/>
      <c r="AAE209" s="553" t="s">
        <v>276</v>
      </c>
      <c r="AAF209" s="585" t="s">
        <v>199</v>
      </c>
      <c r="AAG209" s="113"/>
      <c r="AAH209" s="113"/>
      <c r="AAI209" s="77"/>
      <c r="AAJ209" s="90"/>
      <c r="AAK209" s="90"/>
      <c r="AAL209" s="76"/>
      <c r="AAM209" s="113"/>
      <c r="AAU209" s="44"/>
    </row>
    <row r="210" spans="1:732" ht="18" customHeight="1">
      <c r="A210" s="560"/>
      <c r="B210" s="237"/>
      <c r="C210" s="251"/>
      <c r="D210" s="252"/>
      <c r="E210" s="253"/>
      <c r="F210" s="374">
        <f>NETWORKDAYS(S.BANNER.FeeStart,S.BANNER.FeeEnd,S.DDL_DEQClosed)</f>
        <v>41</v>
      </c>
      <c r="G210" s="315">
        <f>AAG210</f>
        <v>41414</v>
      </c>
      <c r="H210" s="254">
        <f>AAH210</f>
        <v>41473</v>
      </c>
      <c r="I210" s="629"/>
      <c r="J210" s="631"/>
      <c r="K210" s="637"/>
      <c r="L210" s="637"/>
      <c r="M210" s="637"/>
      <c r="N210" s="637"/>
      <c r="O210" s="637"/>
      <c r="P210" s="637"/>
      <c r="Q210" s="637"/>
      <c r="R210" s="637"/>
      <c r="S210" s="637"/>
      <c r="T210" s="637"/>
      <c r="U210" s="637"/>
      <c r="V210" s="637"/>
      <c r="W210" s="637"/>
      <c r="X210" s="637"/>
      <c r="Y210" s="637"/>
      <c r="Z210" s="637"/>
      <c r="AA210" s="637"/>
      <c r="AB210" s="637"/>
      <c r="AC210" s="637"/>
      <c r="AD210" s="637"/>
      <c r="AE210" s="637"/>
      <c r="AF210" s="637"/>
      <c r="AG210" s="637"/>
      <c r="AH210" s="637"/>
      <c r="AI210" s="637"/>
      <c r="AJ210" s="637"/>
      <c r="AK210" s="637"/>
      <c r="AL210" s="637"/>
      <c r="AM210" s="637"/>
      <c r="AN210" s="637"/>
      <c r="AO210" s="637"/>
      <c r="AP210" s="637"/>
      <c r="AQ210" s="637"/>
      <c r="AR210" s="637"/>
      <c r="AS210" s="637"/>
      <c r="AT210" s="637"/>
      <c r="AU210" s="637"/>
      <c r="AV210" s="637"/>
      <c r="AW210" s="637"/>
      <c r="AX210" s="637"/>
      <c r="AY210" s="637"/>
      <c r="AZ210" s="637"/>
      <c r="BA210" s="637"/>
      <c r="BB210" s="637"/>
      <c r="BC210" s="637"/>
      <c r="BD210" s="637"/>
      <c r="BE210" s="637"/>
      <c r="BF210" s="637"/>
      <c r="BG210" s="637"/>
      <c r="BH210" s="637"/>
      <c r="BI210" s="637"/>
      <c r="BJ210" s="637"/>
      <c r="BK210" s="637"/>
      <c r="BL210" s="637"/>
      <c r="BM210" s="637"/>
      <c r="BN210" s="637"/>
      <c r="BO210" s="637"/>
      <c r="BP210" s="637"/>
      <c r="BQ210" s="637"/>
      <c r="BR210" s="637"/>
      <c r="BS210" s="637"/>
      <c r="BT210" s="637"/>
      <c r="BU210" s="637"/>
      <c r="BV210" s="637"/>
      <c r="BW210" s="637"/>
      <c r="BX210" s="637"/>
      <c r="BY210" s="637"/>
      <c r="BZ210" s="637"/>
      <c r="CA210" s="637"/>
      <c r="CB210" s="637"/>
      <c r="CC210" s="637"/>
      <c r="CD210" s="637"/>
      <c r="CE210" s="637"/>
      <c r="CF210" s="637"/>
      <c r="CG210" s="637"/>
      <c r="CH210" s="637"/>
      <c r="CI210" s="637"/>
      <c r="CJ210" s="637"/>
      <c r="CK210" s="637"/>
      <c r="CL210" s="637"/>
      <c r="CM210" s="637"/>
      <c r="CN210" s="637"/>
      <c r="CO210" s="637"/>
      <c r="CP210" s="637"/>
      <c r="CQ210" s="637"/>
      <c r="CR210" s="637"/>
      <c r="CS210" s="637"/>
      <c r="CT210" s="637"/>
      <c r="CU210" s="637"/>
      <c r="CV210" s="637"/>
      <c r="CW210" s="637"/>
      <c r="CX210" s="637"/>
      <c r="CY210" s="637"/>
      <c r="CZ210" s="637"/>
      <c r="DA210" s="637"/>
      <c r="DB210" s="637"/>
      <c r="DC210" s="637"/>
      <c r="DD210" s="637"/>
      <c r="DE210" s="637"/>
      <c r="DF210" s="637"/>
      <c r="DG210" s="637"/>
      <c r="DH210" s="637"/>
      <c r="DI210" s="637"/>
      <c r="DJ210" s="637"/>
      <c r="DK210" s="637"/>
      <c r="DL210" s="637"/>
      <c r="DM210" s="637"/>
      <c r="DN210" s="637"/>
      <c r="DO210" s="637"/>
      <c r="DP210" s="637"/>
      <c r="DQ210" s="637"/>
      <c r="DR210" s="637"/>
      <c r="DS210" s="637"/>
      <c r="DT210" s="637"/>
      <c r="DU210" s="637"/>
      <c r="DV210" s="637"/>
      <c r="DW210" s="637"/>
      <c r="DX210" s="637"/>
      <c r="DY210" s="637"/>
      <c r="DZ210" s="637"/>
      <c r="EA210" s="637"/>
      <c r="EB210" s="637"/>
      <c r="EC210" s="637"/>
      <c r="ED210" s="637"/>
      <c r="EE210" s="637"/>
      <c r="EF210" s="637"/>
      <c r="EG210" s="637"/>
      <c r="EH210" s="637"/>
      <c r="EI210" s="637"/>
      <c r="EJ210" s="637"/>
      <c r="EK210" s="637"/>
      <c r="EL210" s="637"/>
      <c r="EM210" s="637"/>
      <c r="EN210" s="637"/>
      <c r="EO210" s="637"/>
      <c r="EP210" s="637"/>
      <c r="EQ210" s="637"/>
      <c r="ER210" s="637"/>
      <c r="ES210" s="637"/>
      <c r="ET210" s="637"/>
      <c r="EU210" s="637"/>
      <c r="EV210" s="637"/>
      <c r="EW210" s="637"/>
      <c r="EX210" s="637"/>
      <c r="EY210" s="637"/>
      <c r="EZ210" s="637"/>
      <c r="FA210" s="637"/>
      <c r="FB210" s="637"/>
      <c r="FC210" s="637"/>
      <c r="FD210" s="637"/>
      <c r="FE210" s="637"/>
      <c r="FF210" s="637"/>
      <c r="FG210" s="637"/>
      <c r="FH210" s="637"/>
      <c r="FI210" s="637"/>
      <c r="FJ210" s="637"/>
      <c r="FK210" s="637"/>
      <c r="FL210" s="637"/>
      <c r="FM210" s="637"/>
      <c r="FN210" s="637"/>
      <c r="FO210" s="637"/>
      <c r="FP210" s="637"/>
      <c r="FQ210" s="637"/>
      <c r="FR210" s="637"/>
      <c r="FS210" s="637"/>
      <c r="FT210" s="637"/>
      <c r="FU210" s="637"/>
      <c r="FV210" s="637"/>
      <c r="FW210" s="637"/>
      <c r="FX210" s="637"/>
      <c r="FY210" s="637"/>
      <c r="FZ210" s="637"/>
      <c r="GA210" s="637"/>
      <c r="GB210" s="637"/>
      <c r="GC210" s="637"/>
      <c r="GD210" s="637"/>
      <c r="GE210" s="637"/>
      <c r="GF210" s="637"/>
      <c r="GG210" s="637"/>
      <c r="GH210" s="637"/>
      <c r="GI210" s="637"/>
      <c r="GJ210" s="637"/>
      <c r="GK210" s="637"/>
      <c r="GL210" s="637"/>
      <c r="GM210" s="637"/>
      <c r="GN210" s="637"/>
      <c r="GO210" s="637"/>
      <c r="GP210" s="637"/>
      <c r="GQ210" s="637"/>
      <c r="GR210" s="637"/>
      <c r="GS210" s="637"/>
      <c r="GT210" s="637"/>
      <c r="GU210" s="637"/>
      <c r="GV210" s="637"/>
      <c r="GW210" s="637"/>
      <c r="GX210" s="637"/>
      <c r="GY210" s="637"/>
      <c r="GZ210" s="637"/>
      <c r="HA210" s="637"/>
      <c r="HB210" s="637"/>
      <c r="HC210" s="637"/>
      <c r="HD210" s="637"/>
      <c r="HE210" s="637"/>
      <c r="HF210" s="637"/>
      <c r="HG210" s="637"/>
      <c r="HH210" s="637"/>
      <c r="HI210" s="637"/>
      <c r="HJ210" s="637"/>
      <c r="HK210" s="637"/>
      <c r="HL210" s="637"/>
      <c r="HM210" s="637"/>
      <c r="HN210" s="637"/>
      <c r="HO210" s="637"/>
      <c r="HP210" s="637"/>
      <c r="HQ210" s="637"/>
      <c r="HR210" s="637"/>
      <c r="HS210" s="637"/>
      <c r="HT210" s="637"/>
      <c r="HU210" s="637"/>
      <c r="HV210" s="637"/>
      <c r="HW210" s="637"/>
      <c r="HX210" s="637"/>
      <c r="HY210" s="637"/>
      <c r="HZ210" s="637"/>
      <c r="IA210" s="637"/>
      <c r="IB210" s="637"/>
      <c r="IC210" s="637"/>
      <c r="ID210" s="637"/>
      <c r="IE210" s="637"/>
      <c r="IF210" s="637"/>
      <c r="IG210" s="637"/>
      <c r="IH210" s="637"/>
      <c r="II210" s="637"/>
      <c r="IJ210" s="637"/>
      <c r="IK210" s="637"/>
      <c r="IL210" s="637"/>
      <c r="IM210" s="637"/>
      <c r="IN210" s="637"/>
      <c r="IO210" s="637"/>
      <c r="IP210" s="637"/>
      <c r="IQ210" s="637"/>
      <c r="IR210" s="637"/>
      <c r="IS210" s="637"/>
      <c r="IT210" s="637"/>
      <c r="IU210" s="637"/>
      <c r="IV210" s="637"/>
      <c r="IW210" s="637"/>
      <c r="IX210" s="637"/>
      <c r="IY210" s="637"/>
      <c r="IZ210" s="637"/>
      <c r="JA210" s="637"/>
      <c r="JB210" s="637"/>
      <c r="JC210" s="637"/>
      <c r="JD210" s="637"/>
      <c r="JE210" s="637"/>
      <c r="JF210" s="637"/>
      <c r="JG210" s="637"/>
      <c r="JH210" s="637"/>
      <c r="JI210" s="637"/>
      <c r="JJ210" s="637"/>
      <c r="JK210" s="637"/>
      <c r="JL210" s="637"/>
      <c r="JM210" s="637"/>
      <c r="JN210" s="637"/>
      <c r="JO210" s="637"/>
      <c r="JP210" s="637"/>
      <c r="JQ210" s="637"/>
      <c r="JR210" s="637"/>
      <c r="JS210" s="637"/>
      <c r="JT210" s="637"/>
      <c r="JU210" s="637"/>
      <c r="JV210" s="637"/>
      <c r="JW210" s="637"/>
      <c r="JX210" s="637"/>
      <c r="JY210" s="637"/>
      <c r="JZ210" s="637"/>
      <c r="KA210" s="637"/>
      <c r="KB210" s="637"/>
      <c r="KC210" s="637"/>
      <c r="KD210" s="637"/>
      <c r="KE210" s="637"/>
      <c r="KF210" s="637"/>
      <c r="KG210" s="637"/>
      <c r="KH210" s="637"/>
      <c r="KI210" s="637"/>
      <c r="KJ210" s="637"/>
      <c r="KK210" s="637"/>
      <c r="KL210" s="637"/>
      <c r="KM210" s="637"/>
      <c r="KN210" s="637"/>
      <c r="KO210" s="637"/>
      <c r="KP210" s="637"/>
      <c r="KQ210" s="637"/>
      <c r="KR210" s="637"/>
      <c r="KS210" s="637"/>
      <c r="KT210" s="637"/>
      <c r="KU210" s="637"/>
      <c r="KV210" s="637"/>
      <c r="KW210" s="637"/>
      <c r="KX210" s="637"/>
      <c r="KY210" s="637"/>
      <c r="KZ210" s="637"/>
      <c r="LA210" s="637"/>
      <c r="LB210" s="637"/>
      <c r="LC210" s="637"/>
      <c r="LD210" s="637"/>
      <c r="LE210" s="637"/>
      <c r="LF210" s="637"/>
      <c r="LG210" s="637"/>
      <c r="LH210" s="637"/>
      <c r="LI210" s="637"/>
      <c r="LJ210" s="637"/>
      <c r="LK210" s="637"/>
      <c r="LL210" s="637"/>
      <c r="LM210" s="637"/>
      <c r="LN210" s="637"/>
      <c r="LO210" s="637"/>
      <c r="LP210" s="637"/>
      <c r="LQ210" s="637"/>
      <c r="LR210" s="637"/>
      <c r="LS210" s="637"/>
      <c r="LT210" s="637"/>
      <c r="LU210" s="637"/>
      <c r="LV210" s="637"/>
      <c r="LW210" s="637"/>
      <c r="LX210" s="637"/>
      <c r="LY210" s="637"/>
      <c r="LZ210" s="637"/>
      <c r="MA210" s="637"/>
      <c r="MB210" s="637"/>
      <c r="MC210" s="637"/>
      <c r="MD210" s="637"/>
      <c r="ME210" s="637"/>
      <c r="MF210" s="637"/>
      <c r="MG210" s="637"/>
      <c r="MH210" s="637"/>
      <c r="MI210" s="637"/>
      <c r="MJ210" s="637"/>
      <c r="MK210" s="637"/>
      <c r="ML210" s="637"/>
      <c r="MM210" s="637"/>
      <c r="MN210" s="637"/>
      <c r="MO210" s="637"/>
      <c r="MP210" s="637"/>
      <c r="MQ210" s="637"/>
      <c r="MR210" s="637"/>
      <c r="MS210" s="637"/>
      <c r="MT210" s="637"/>
      <c r="MU210" s="637"/>
      <c r="MV210" s="637"/>
      <c r="MW210" s="637"/>
      <c r="MX210" s="637"/>
      <c r="MY210" s="637"/>
      <c r="MZ210" s="637"/>
      <c r="NA210" s="637"/>
      <c r="NB210" s="637"/>
      <c r="NC210" s="637"/>
      <c r="ND210" s="637"/>
      <c r="NE210" s="637"/>
      <c r="NF210" s="637"/>
      <c r="NG210" s="637"/>
      <c r="NH210" s="637"/>
      <c r="NI210" s="637"/>
      <c r="NJ210" s="637"/>
      <c r="NK210" s="637"/>
      <c r="NL210" s="637"/>
      <c r="NM210" s="637"/>
      <c r="NN210" s="637"/>
      <c r="NO210" s="637"/>
      <c r="NP210" s="637"/>
      <c r="NQ210" s="637"/>
      <c r="NR210" s="637"/>
      <c r="NS210" s="637"/>
      <c r="NT210" s="637"/>
      <c r="NU210" s="637"/>
      <c r="NV210" s="637"/>
      <c r="NW210" s="637"/>
      <c r="NX210" s="637"/>
      <c r="NY210" s="637"/>
      <c r="NZ210" s="637"/>
      <c r="OA210" s="637"/>
      <c r="OB210" s="637"/>
      <c r="OC210" s="637"/>
      <c r="OD210" s="637"/>
      <c r="OE210" s="637"/>
      <c r="OF210" s="637"/>
      <c r="OG210" s="637"/>
      <c r="OH210" s="637"/>
      <c r="OI210" s="637"/>
      <c r="OJ210" s="637"/>
      <c r="OK210" s="637"/>
      <c r="OL210" s="637"/>
      <c r="OM210" s="637"/>
      <c r="ON210" s="637"/>
      <c r="OO210" s="637"/>
      <c r="OP210" s="637"/>
      <c r="OQ210" s="637"/>
      <c r="OR210" s="637"/>
      <c r="OS210" s="637"/>
      <c r="OT210" s="637"/>
      <c r="OU210" s="637"/>
      <c r="OV210" s="637"/>
      <c r="OW210" s="637"/>
      <c r="OX210" s="637"/>
      <c r="OY210" s="637"/>
      <c r="OZ210" s="637"/>
      <c r="PA210" s="637"/>
      <c r="PB210" s="637"/>
      <c r="PC210" s="637"/>
      <c r="PD210" s="637"/>
      <c r="PE210" s="637"/>
      <c r="PF210" s="637"/>
      <c r="PG210" s="637"/>
      <c r="PH210" s="637"/>
      <c r="PI210" s="637"/>
      <c r="PJ210" s="637"/>
      <c r="PK210" s="637"/>
      <c r="PL210" s="637"/>
      <c r="PM210" s="637"/>
      <c r="PN210" s="637"/>
      <c r="PO210" s="637"/>
      <c r="PP210" s="637"/>
      <c r="PQ210" s="637"/>
      <c r="PR210" s="637"/>
      <c r="PS210" s="637"/>
      <c r="PT210" s="637"/>
      <c r="PU210" s="637"/>
      <c r="PV210" s="637"/>
      <c r="PW210" s="637"/>
      <c r="PX210" s="637"/>
      <c r="PY210" s="637"/>
      <c r="PZ210" s="637"/>
      <c r="QA210" s="637"/>
      <c r="QB210" s="637"/>
      <c r="QC210" s="637"/>
      <c r="QD210" s="637"/>
      <c r="QE210" s="637"/>
      <c r="QF210" s="637"/>
      <c r="QG210" s="637"/>
      <c r="QH210" s="637"/>
      <c r="QI210" s="637"/>
      <c r="QJ210" s="637"/>
      <c r="QK210" s="637"/>
      <c r="QL210" s="637"/>
      <c r="QM210" s="637"/>
      <c r="QN210" s="637"/>
      <c r="QO210" s="637"/>
      <c r="QP210" s="637"/>
      <c r="QQ210" s="637"/>
      <c r="QR210" s="637"/>
      <c r="QS210" s="637"/>
      <c r="QT210" s="637"/>
      <c r="QU210" s="637"/>
      <c r="QV210" s="637"/>
      <c r="QW210" s="637"/>
      <c r="QX210" s="637"/>
      <c r="QY210" s="637"/>
      <c r="QZ210" s="637"/>
      <c r="RA210" s="637"/>
      <c r="RB210" s="637"/>
      <c r="RC210" s="637"/>
      <c r="RD210" s="637"/>
      <c r="RE210" s="637"/>
      <c r="RF210" s="637"/>
      <c r="RG210" s="637"/>
      <c r="RH210" s="637"/>
      <c r="RI210" s="637"/>
      <c r="RJ210" s="637"/>
      <c r="RK210" s="637"/>
      <c r="RL210" s="637"/>
      <c r="RM210" s="637"/>
      <c r="RN210" s="637"/>
      <c r="RO210" s="637"/>
      <c r="RP210" s="637"/>
      <c r="RQ210" s="637"/>
      <c r="RR210" s="637"/>
      <c r="RS210" s="637"/>
      <c r="RT210" s="637"/>
      <c r="RU210" s="637"/>
      <c r="RV210" s="637"/>
      <c r="RW210" s="637"/>
      <c r="RX210" s="637"/>
      <c r="RY210" s="637"/>
      <c r="RZ210" s="637"/>
      <c r="SA210" s="637"/>
      <c r="SB210" s="637"/>
      <c r="SC210" s="637"/>
      <c r="SD210" s="637"/>
      <c r="SE210" s="637"/>
      <c r="SF210" s="637"/>
      <c r="SG210" s="637"/>
      <c r="SH210" s="637"/>
      <c r="SI210" s="637"/>
      <c r="SJ210" s="637"/>
      <c r="SK210" s="637"/>
      <c r="SL210" s="637"/>
      <c r="SM210" s="637"/>
      <c r="SN210" s="637"/>
      <c r="SO210" s="637"/>
      <c r="SP210" s="637"/>
      <c r="SQ210" s="637"/>
      <c r="SR210" s="637"/>
      <c r="SS210" s="637"/>
      <c r="ST210" s="637"/>
      <c r="SU210" s="637"/>
      <c r="SV210" s="637"/>
      <c r="SW210" s="637"/>
      <c r="SX210" s="637"/>
      <c r="SY210" s="637"/>
      <c r="SZ210" s="637"/>
      <c r="TA210" s="637"/>
      <c r="TB210" s="637"/>
      <c r="TC210" s="637"/>
      <c r="TD210" s="637"/>
      <c r="TE210" s="637"/>
      <c r="TF210" s="637"/>
      <c r="TG210" s="637"/>
      <c r="TH210" s="637"/>
      <c r="TI210" s="637"/>
      <c r="TJ210" s="637"/>
      <c r="TK210" s="637"/>
      <c r="TL210" s="637"/>
      <c r="TM210" s="637"/>
      <c r="TN210" s="637"/>
      <c r="TO210" s="637"/>
      <c r="TP210" s="637"/>
      <c r="TQ210" s="637"/>
      <c r="TR210" s="637"/>
      <c r="TS210" s="637"/>
      <c r="TT210" s="637"/>
      <c r="TU210" s="637"/>
      <c r="TV210" s="637"/>
      <c r="TW210" s="637"/>
      <c r="TX210" s="637"/>
      <c r="TY210" s="637"/>
      <c r="TZ210" s="637"/>
      <c r="UA210" s="637"/>
      <c r="UB210" s="637"/>
      <c r="UC210" s="637"/>
      <c r="UD210" s="637"/>
      <c r="UE210" s="637"/>
      <c r="UF210" s="637"/>
      <c r="UG210" s="637"/>
      <c r="UH210" s="637"/>
      <c r="UI210" s="637"/>
      <c r="UJ210" s="637"/>
      <c r="UK210" s="637"/>
      <c r="UL210" s="637"/>
      <c r="UM210" s="637"/>
      <c r="UN210" s="637"/>
      <c r="UO210" s="637"/>
      <c r="UP210" s="637"/>
      <c r="UQ210" s="637"/>
      <c r="UR210" s="637"/>
      <c r="US210" s="637"/>
      <c r="UT210" s="637"/>
      <c r="UU210" s="637"/>
      <c r="UV210" s="637"/>
      <c r="UW210" s="637"/>
      <c r="UX210" s="637"/>
      <c r="UY210" s="637"/>
      <c r="UZ210" s="637"/>
      <c r="VA210" s="637"/>
      <c r="VB210" s="637"/>
      <c r="VC210" s="637"/>
      <c r="VD210" s="637"/>
      <c r="VE210" s="637"/>
      <c r="VF210" s="637"/>
      <c r="VG210" s="637"/>
      <c r="VH210" s="637"/>
      <c r="VI210" s="637"/>
      <c r="VJ210" s="637"/>
      <c r="VK210" s="637"/>
      <c r="VL210" s="637"/>
      <c r="VM210" s="637"/>
      <c r="VN210" s="637"/>
      <c r="VO210" s="637"/>
      <c r="VP210" s="637"/>
      <c r="VQ210" s="637"/>
      <c r="VR210" s="637"/>
      <c r="VS210" s="637"/>
      <c r="VT210" s="637"/>
      <c r="VU210" s="637"/>
      <c r="VV210" s="637"/>
      <c r="VW210" s="637"/>
      <c r="VX210" s="637"/>
      <c r="VY210" s="637"/>
      <c r="VZ210" s="637"/>
      <c r="WA210" s="637"/>
      <c r="WB210" s="637"/>
      <c r="WC210" s="637"/>
      <c r="WD210" s="637"/>
      <c r="WE210" s="637"/>
      <c r="WF210" s="637"/>
      <c r="WG210" s="637"/>
      <c r="WH210" s="637"/>
      <c r="WI210" s="637"/>
      <c r="WJ210" s="637"/>
      <c r="WK210" s="637"/>
      <c r="WL210" s="637"/>
      <c r="WM210" s="637"/>
      <c r="WN210" s="637"/>
      <c r="WO210" s="637"/>
      <c r="WP210" s="637"/>
      <c r="WQ210" s="637"/>
      <c r="WR210" s="637"/>
      <c r="WS210" s="637"/>
      <c r="WT210" s="637"/>
      <c r="WU210" s="637"/>
      <c r="WV210" s="637"/>
      <c r="WW210" s="637"/>
      <c r="WX210" s="637"/>
      <c r="WY210" s="637"/>
      <c r="WZ210" s="637"/>
      <c r="XA210" s="637"/>
      <c r="XB210" s="637"/>
      <c r="XC210" s="637"/>
      <c r="XD210" s="637"/>
      <c r="XE210" s="637"/>
      <c r="XF210" s="637"/>
      <c r="XG210" s="637"/>
      <c r="XH210" s="637"/>
      <c r="XI210" s="637"/>
      <c r="XJ210" s="637"/>
      <c r="XK210" s="637"/>
      <c r="XL210" s="637"/>
      <c r="XM210" s="637"/>
      <c r="XN210" s="637"/>
      <c r="XO210" s="637"/>
      <c r="XP210" s="637"/>
      <c r="XQ210" s="637"/>
      <c r="XR210" s="637"/>
      <c r="XS210" s="637"/>
      <c r="XT210" s="637"/>
      <c r="XU210" s="637"/>
      <c r="XV210" s="637"/>
      <c r="XW210" s="637"/>
      <c r="XX210" s="637"/>
      <c r="XY210" s="637"/>
      <c r="XZ210" s="637"/>
      <c r="YA210" s="637"/>
      <c r="YB210" s="637"/>
      <c r="YC210" s="637"/>
      <c r="YD210" s="637"/>
      <c r="YE210" s="637"/>
      <c r="YF210" s="637"/>
      <c r="YG210" s="637"/>
      <c r="YH210" s="637"/>
      <c r="YI210" s="637"/>
      <c r="YJ210" s="637"/>
      <c r="YK210" s="637"/>
      <c r="YL210" s="637"/>
      <c r="YM210" s="637"/>
      <c r="YN210" s="637"/>
      <c r="YO210" s="637"/>
      <c r="YP210" s="637"/>
      <c r="YQ210" s="637"/>
      <c r="YR210" s="637"/>
      <c r="YS210" s="637"/>
      <c r="YT210" s="637"/>
      <c r="YU210" s="637"/>
      <c r="YV210" s="637"/>
      <c r="YW210" s="637"/>
      <c r="YX210" s="637"/>
      <c r="YY210" s="637"/>
      <c r="YZ210" s="637"/>
      <c r="ZA210" s="637"/>
      <c r="ZB210" s="637"/>
      <c r="ZC210" s="637"/>
      <c r="ZD210" s="637"/>
      <c r="ZE210" s="637"/>
      <c r="ZF210" s="637"/>
      <c r="ZG210" s="637"/>
      <c r="ZH210" s="637"/>
      <c r="ZI210" s="637"/>
      <c r="ZJ210" s="637"/>
      <c r="ZK210" s="637"/>
      <c r="ZL210" s="637"/>
      <c r="ZM210" s="637"/>
      <c r="ZN210" s="637"/>
      <c r="ZO210" s="637"/>
      <c r="ZP210" s="637"/>
      <c r="ZQ210" s="637"/>
      <c r="ZR210" s="637"/>
      <c r="ZS210" s="637"/>
      <c r="ZT210" s="637"/>
      <c r="ZU210" s="637"/>
      <c r="ZV210" s="637"/>
      <c r="ZW210" s="637"/>
      <c r="ZX210" s="637"/>
      <c r="ZY210" s="640"/>
      <c r="ZZ210" s="120"/>
      <c r="AAA210" s="590"/>
      <c r="AAD210" s="113"/>
      <c r="AAE210" s="553" t="s">
        <v>276</v>
      </c>
      <c r="AAF210" s="585" t="s">
        <v>199</v>
      </c>
      <c r="AAG210" s="78">
        <f>G21</f>
        <v>41414</v>
      </c>
      <c r="AAH210" s="78">
        <f>WORKDAY(S.SubmitNoticeToSOS+2,1,S.DDL_DEQClosed)</f>
        <v>41473</v>
      </c>
      <c r="AAI210" s="77"/>
      <c r="AAJ210" s="77"/>
      <c r="AAK210" s="77"/>
      <c r="AAL210" s="79"/>
      <c r="AAM210" s="113"/>
      <c r="AAN210"/>
      <c r="AAT210" s="23"/>
      <c r="AAU210" s="44"/>
    </row>
    <row r="211" spans="1:732" ht="6" customHeight="1">
      <c r="A211" s="560"/>
      <c r="B211" s="207"/>
      <c r="C211" s="696"/>
      <c r="D211" s="181"/>
      <c r="E211" s="182"/>
      <c r="F211" s="182"/>
      <c r="G211" s="181"/>
      <c r="H211" s="181"/>
      <c r="I211" s="590"/>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c r="JH211" s="32"/>
      <c r="JI211" s="32"/>
      <c r="JJ211" s="32"/>
      <c r="JK211" s="32"/>
      <c r="JL211" s="32"/>
      <c r="JM211" s="32"/>
      <c r="JN211" s="32"/>
      <c r="JO211" s="32"/>
      <c r="JP211" s="32"/>
      <c r="JQ211" s="32"/>
      <c r="JR211" s="32"/>
      <c r="JS211" s="32"/>
      <c r="JT211" s="32"/>
      <c r="JU211" s="32"/>
      <c r="JV211" s="32"/>
      <c r="JW211" s="32"/>
      <c r="JX211" s="32"/>
      <c r="JY211" s="32"/>
      <c r="JZ211" s="32"/>
      <c r="KA211" s="32"/>
      <c r="KB211" s="32"/>
      <c r="KC211" s="32"/>
      <c r="KD211" s="32"/>
      <c r="KE211" s="32"/>
      <c r="KF211" s="32"/>
      <c r="KG211" s="32"/>
      <c r="KH211" s="32"/>
      <c r="KI211" s="32"/>
      <c r="KJ211" s="32"/>
      <c r="KK211" s="32"/>
      <c r="KL211" s="32"/>
      <c r="KM211" s="32"/>
      <c r="KN211" s="32"/>
      <c r="KO211" s="32"/>
      <c r="KP211" s="32"/>
      <c r="KQ211" s="32"/>
      <c r="KR211" s="32"/>
      <c r="KS211" s="32"/>
      <c r="KT211" s="32"/>
      <c r="KU211" s="32"/>
      <c r="KV211" s="32"/>
      <c r="KW211" s="32"/>
      <c r="KX211" s="32"/>
      <c r="KY211" s="32"/>
      <c r="KZ211" s="32"/>
      <c r="LA211" s="32"/>
      <c r="LB211" s="32"/>
      <c r="LC211" s="32"/>
      <c r="LD211" s="32"/>
      <c r="LE211" s="32"/>
      <c r="LF211" s="32"/>
      <c r="LG211" s="32"/>
      <c r="LH211" s="32"/>
      <c r="LI211" s="32"/>
      <c r="LJ211" s="32"/>
      <c r="LK211" s="32"/>
      <c r="LL211" s="32"/>
      <c r="LM211" s="32"/>
      <c r="LN211" s="32"/>
      <c r="LO211" s="32"/>
      <c r="LP211" s="32"/>
      <c r="LQ211" s="32"/>
      <c r="LR211" s="32"/>
      <c r="LS211" s="32"/>
      <c r="LT211" s="32"/>
      <c r="LU211" s="32"/>
      <c r="LV211" s="32"/>
      <c r="LW211" s="32"/>
      <c r="LX211" s="32"/>
      <c r="LY211" s="32"/>
      <c r="LZ211" s="32"/>
      <c r="MA211" s="32"/>
      <c r="MB211" s="32"/>
      <c r="MC211" s="32"/>
      <c r="MD211" s="32"/>
      <c r="ME211" s="32"/>
      <c r="MF211" s="32"/>
      <c r="MG211" s="32"/>
      <c r="MH211" s="32"/>
      <c r="MI211" s="32"/>
      <c r="MJ211" s="32"/>
      <c r="MK211" s="32"/>
      <c r="ML211" s="32"/>
      <c r="MM211" s="32"/>
      <c r="MN211" s="32"/>
      <c r="MO211" s="32"/>
      <c r="MP211" s="32"/>
      <c r="MQ211" s="32"/>
      <c r="MR211" s="32"/>
      <c r="MS211" s="32"/>
      <c r="MT211" s="32"/>
      <c r="MU211" s="32"/>
      <c r="MV211" s="32"/>
      <c r="MW211" s="32"/>
      <c r="MX211" s="32"/>
      <c r="MY211" s="32"/>
      <c r="MZ211" s="32"/>
      <c r="NA211" s="32"/>
      <c r="NB211" s="32"/>
      <c r="NC211" s="32"/>
      <c r="ND211" s="32"/>
      <c r="NE211" s="32"/>
      <c r="NF211" s="32"/>
      <c r="NG211" s="32"/>
      <c r="NH211" s="32"/>
      <c r="NI211" s="32"/>
      <c r="NJ211" s="32"/>
      <c r="NK211" s="32"/>
      <c r="NL211" s="32"/>
      <c r="NM211" s="32"/>
      <c r="NN211" s="32"/>
      <c r="NO211" s="32"/>
      <c r="NP211" s="32"/>
      <c r="NQ211" s="32"/>
      <c r="NR211" s="32"/>
      <c r="NS211" s="32"/>
      <c r="NT211" s="32"/>
      <c r="NU211" s="32"/>
      <c r="NV211" s="32"/>
      <c r="NW211" s="32"/>
      <c r="NX211" s="32"/>
      <c r="NY211" s="32"/>
      <c r="NZ211" s="32"/>
      <c r="OA211" s="32"/>
      <c r="OB211" s="32"/>
      <c r="OC211" s="32"/>
      <c r="OD211" s="32"/>
      <c r="OE211" s="32"/>
      <c r="OF211" s="32"/>
      <c r="OG211" s="32"/>
      <c r="OH211" s="32"/>
      <c r="OI211" s="32"/>
      <c r="OJ211" s="32"/>
      <c r="OK211" s="32"/>
      <c r="OL211" s="32"/>
      <c r="OM211" s="32"/>
      <c r="ON211" s="32"/>
      <c r="OO211" s="32"/>
      <c r="OP211" s="32"/>
      <c r="OQ211" s="32"/>
      <c r="OR211" s="32"/>
      <c r="OS211" s="32"/>
      <c r="OT211" s="32"/>
      <c r="OU211" s="32"/>
      <c r="OV211" s="32"/>
      <c r="OW211" s="32"/>
      <c r="OX211" s="32"/>
      <c r="OY211" s="32"/>
      <c r="OZ211" s="32"/>
      <c r="PA211" s="32"/>
      <c r="PB211" s="32"/>
      <c r="PC211" s="32"/>
      <c r="PD211" s="32"/>
      <c r="PE211" s="32"/>
      <c r="PF211" s="32"/>
      <c r="PG211" s="32"/>
      <c r="PH211" s="32"/>
      <c r="PI211" s="32"/>
      <c r="PJ211" s="32"/>
      <c r="PK211" s="32"/>
      <c r="PL211" s="32"/>
      <c r="PM211" s="32"/>
      <c r="PN211" s="32"/>
      <c r="PO211" s="32"/>
      <c r="PP211" s="32"/>
      <c r="PQ211" s="32"/>
      <c r="PR211" s="32"/>
      <c r="PS211" s="32"/>
      <c r="PT211" s="32"/>
      <c r="PU211" s="32"/>
      <c r="PV211" s="32"/>
      <c r="PW211" s="32"/>
      <c r="PX211" s="32"/>
      <c r="PY211" s="32"/>
      <c r="PZ211" s="32"/>
      <c r="QA211" s="32"/>
      <c r="QB211" s="32"/>
      <c r="QC211" s="32"/>
      <c r="QD211" s="32"/>
      <c r="QE211" s="32"/>
      <c r="QF211" s="32"/>
      <c r="QG211" s="32"/>
      <c r="QH211" s="32"/>
      <c r="QI211" s="32"/>
      <c r="QJ211" s="32"/>
      <c r="QK211" s="32"/>
      <c r="QL211" s="32"/>
      <c r="QM211" s="32"/>
      <c r="QN211" s="32"/>
      <c r="QO211" s="32"/>
      <c r="QP211" s="32"/>
      <c r="QQ211" s="32"/>
      <c r="QR211" s="32"/>
      <c r="QS211" s="32"/>
      <c r="QT211" s="32"/>
      <c r="QU211" s="32"/>
      <c r="QV211" s="32"/>
      <c r="QW211" s="32"/>
      <c r="QX211" s="32"/>
      <c r="QY211" s="32"/>
      <c r="QZ211" s="32"/>
      <c r="RA211" s="32"/>
      <c r="RB211" s="32"/>
      <c r="RC211" s="32"/>
      <c r="RD211" s="32"/>
      <c r="RE211" s="32"/>
      <c r="RF211" s="32"/>
      <c r="RG211" s="32"/>
      <c r="RH211" s="32"/>
      <c r="RI211" s="32"/>
      <c r="RJ211" s="32"/>
      <c r="RK211" s="32"/>
      <c r="RL211" s="32"/>
      <c r="RM211" s="32"/>
      <c r="RN211" s="32"/>
      <c r="RO211" s="32"/>
      <c r="RP211" s="32"/>
      <c r="RQ211" s="32"/>
      <c r="RR211" s="32"/>
      <c r="RS211" s="32"/>
      <c r="RT211" s="32"/>
      <c r="RU211" s="32"/>
      <c r="RV211" s="32"/>
      <c r="RW211" s="32"/>
      <c r="RX211" s="32"/>
      <c r="RY211" s="32"/>
      <c r="RZ211" s="32"/>
      <c r="SA211" s="32"/>
      <c r="SB211" s="32"/>
      <c r="SC211" s="32"/>
      <c r="SD211" s="32"/>
      <c r="SE211" s="32"/>
      <c r="SF211" s="32"/>
      <c r="SG211" s="32"/>
      <c r="SH211" s="32"/>
      <c r="SI211" s="32"/>
      <c r="SJ211" s="32"/>
      <c r="SK211" s="32"/>
      <c r="SL211" s="32"/>
      <c r="SM211" s="32"/>
      <c r="SN211" s="32"/>
      <c r="SO211" s="32"/>
      <c r="SP211" s="32"/>
      <c r="SQ211" s="32"/>
      <c r="SR211" s="32"/>
      <c r="SS211" s="32"/>
      <c r="ST211" s="32"/>
      <c r="SU211" s="32"/>
      <c r="SV211" s="32"/>
      <c r="SW211" s="32"/>
      <c r="SX211" s="32"/>
      <c r="SY211" s="32"/>
      <c r="SZ211" s="32"/>
      <c r="TA211" s="32"/>
      <c r="TB211" s="32"/>
      <c r="TC211" s="32"/>
      <c r="TD211" s="32"/>
      <c r="TE211" s="32"/>
      <c r="TF211" s="32"/>
      <c r="TG211" s="32"/>
      <c r="TH211" s="32"/>
      <c r="TI211" s="32"/>
      <c r="TJ211" s="32"/>
      <c r="TK211" s="32"/>
      <c r="TL211" s="32"/>
      <c r="TM211" s="32"/>
      <c r="TN211" s="32"/>
      <c r="TO211" s="32"/>
      <c r="TP211" s="32"/>
      <c r="TQ211" s="32"/>
      <c r="TR211" s="32"/>
      <c r="TS211" s="32"/>
      <c r="TT211" s="32"/>
      <c r="TU211" s="32"/>
      <c r="TV211" s="32"/>
      <c r="TW211" s="32"/>
      <c r="TX211" s="32"/>
      <c r="TY211" s="32"/>
      <c r="TZ211" s="32"/>
      <c r="UA211" s="32"/>
      <c r="UB211" s="32"/>
      <c r="UC211" s="32"/>
      <c r="UD211" s="32"/>
      <c r="UE211" s="32"/>
      <c r="UF211" s="32"/>
      <c r="UG211" s="32"/>
      <c r="UH211" s="32"/>
      <c r="UI211" s="32"/>
      <c r="UJ211" s="32"/>
      <c r="UK211" s="32"/>
      <c r="UL211" s="32"/>
      <c r="UM211" s="32"/>
      <c r="UN211" s="32"/>
      <c r="UO211" s="32"/>
      <c r="UP211" s="32"/>
      <c r="UQ211" s="32"/>
      <c r="UR211" s="32"/>
      <c r="US211" s="32"/>
      <c r="UT211" s="32"/>
      <c r="UU211" s="32"/>
      <c r="UV211" s="32"/>
      <c r="UW211" s="32"/>
      <c r="UX211" s="32"/>
      <c r="UY211" s="32"/>
      <c r="UZ211" s="32"/>
      <c r="VA211" s="32"/>
      <c r="VB211" s="32"/>
      <c r="VC211" s="32"/>
      <c r="VD211" s="32"/>
      <c r="VE211" s="32"/>
      <c r="VF211" s="32"/>
      <c r="VG211" s="32"/>
      <c r="VH211" s="32"/>
      <c r="VI211" s="32"/>
      <c r="VJ211" s="32"/>
      <c r="VK211" s="32"/>
      <c r="VL211" s="32"/>
      <c r="VM211" s="32"/>
      <c r="VN211" s="32"/>
      <c r="VO211" s="32"/>
      <c r="VP211" s="32"/>
      <c r="VQ211" s="32"/>
      <c r="VR211" s="32"/>
      <c r="VS211" s="32"/>
      <c r="VT211" s="32"/>
      <c r="VU211" s="32"/>
      <c r="VV211" s="32"/>
      <c r="VW211" s="32"/>
      <c r="VX211" s="32"/>
      <c r="VY211" s="32"/>
      <c r="VZ211" s="32"/>
      <c r="WA211" s="32"/>
      <c r="WB211" s="32"/>
      <c r="WC211" s="32"/>
      <c r="WD211" s="32"/>
      <c r="WE211" s="32"/>
      <c r="WF211" s="32"/>
      <c r="WG211" s="32"/>
      <c r="WH211" s="32"/>
      <c r="WI211" s="32"/>
      <c r="WJ211" s="32"/>
      <c r="WK211" s="32"/>
      <c r="WL211" s="32"/>
      <c r="WM211" s="32"/>
      <c r="WN211" s="32"/>
      <c r="WO211" s="32"/>
      <c r="WP211" s="32"/>
      <c r="WQ211" s="32"/>
      <c r="WR211" s="32"/>
      <c r="WS211" s="32"/>
      <c r="WT211" s="32"/>
      <c r="WU211" s="32"/>
      <c r="WV211" s="32"/>
      <c r="WW211" s="32"/>
      <c r="WX211" s="32"/>
      <c r="WY211" s="32"/>
      <c r="WZ211" s="32"/>
      <c r="XA211" s="32"/>
      <c r="XB211" s="32"/>
      <c r="XC211" s="32"/>
      <c r="XD211" s="32"/>
      <c r="XE211" s="32"/>
      <c r="XF211" s="32"/>
      <c r="XG211" s="32"/>
      <c r="XH211" s="32"/>
      <c r="XI211" s="32"/>
      <c r="XJ211" s="32"/>
      <c r="XK211" s="32"/>
      <c r="XL211" s="32"/>
      <c r="XM211" s="32"/>
      <c r="XN211" s="32"/>
      <c r="XO211" s="32"/>
      <c r="XP211" s="32"/>
      <c r="XQ211" s="32"/>
      <c r="XR211" s="32"/>
      <c r="XS211" s="32"/>
      <c r="XT211" s="32"/>
      <c r="XU211" s="32"/>
      <c r="XV211" s="32"/>
      <c r="XW211" s="32"/>
      <c r="XX211" s="32"/>
      <c r="XY211" s="32"/>
      <c r="XZ211" s="32"/>
      <c r="YA211" s="32"/>
      <c r="YB211" s="32"/>
      <c r="YC211" s="32"/>
      <c r="YD211" s="32"/>
      <c r="YE211" s="32"/>
      <c r="YF211" s="32"/>
      <c r="YG211" s="32"/>
      <c r="YH211" s="32"/>
      <c r="YI211" s="32"/>
      <c r="YJ211" s="32"/>
      <c r="YK211" s="32"/>
      <c r="YL211" s="32"/>
      <c r="YM211" s="32"/>
      <c r="YN211" s="32"/>
      <c r="YO211" s="32"/>
      <c r="YP211" s="32"/>
      <c r="YQ211" s="32"/>
      <c r="YR211" s="32"/>
      <c r="YS211" s="32"/>
      <c r="YT211" s="32"/>
      <c r="YU211" s="32"/>
      <c r="YV211" s="32"/>
      <c r="YW211" s="32"/>
      <c r="YX211" s="32"/>
      <c r="YY211" s="32"/>
      <c r="YZ211" s="32"/>
      <c r="ZA211" s="32"/>
      <c r="ZB211" s="32"/>
      <c r="ZC211" s="32"/>
      <c r="ZD211" s="32"/>
      <c r="ZE211" s="32"/>
      <c r="ZF211" s="32"/>
      <c r="ZG211" s="32"/>
      <c r="ZH211" s="32"/>
      <c r="ZI211" s="32"/>
      <c r="ZJ211" s="32"/>
      <c r="ZK211" s="32"/>
      <c r="ZL211" s="32"/>
      <c r="ZM211" s="32"/>
      <c r="ZN211" s="32"/>
      <c r="ZO211" s="32"/>
      <c r="ZP211" s="32"/>
      <c r="ZQ211" s="32"/>
      <c r="ZR211" s="32"/>
      <c r="ZS211" s="32"/>
      <c r="ZT211" s="32"/>
      <c r="ZU211" s="32"/>
      <c r="ZV211" s="32"/>
      <c r="ZW211" s="32"/>
      <c r="ZX211" s="32"/>
      <c r="ZY211" s="32"/>
      <c r="ZZ211" s="32"/>
      <c r="AAA211" s="590"/>
      <c r="AAD211" s="113"/>
      <c r="AAE211" s="554" t="s">
        <v>22</v>
      </c>
      <c r="AAF211" s="585" t="s">
        <v>199</v>
      </c>
      <c r="AAG211" s="63"/>
      <c r="AAH211" s="63"/>
      <c r="AAI211" s="77"/>
      <c r="AAJ211" s="77"/>
      <c r="AAK211" s="77"/>
      <c r="AAL211" s="80"/>
      <c r="AAM211" s="113"/>
      <c r="AAN211"/>
      <c r="AAT211" s="23"/>
      <c r="AAU211" s="44"/>
      <c r="AAV211" s="23"/>
      <c r="AAW211" s="23"/>
      <c r="AAX211" s="23"/>
      <c r="AAY211" s="23"/>
      <c r="AAZ211" s="23"/>
      <c r="ABA211" s="23"/>
      <c r="ABB211" s="23"/>
      <c r="ABC211" s="23"/>
      <c r="ABD211" s="23"/>
    </row>
    <row r="212" spans="1:732" ht="15" outlineLevel="1">
      <c r="A212" s="560"/>
      <c r="B212" s="255" t="s">
        <v>147</v>
      </c>
      <c r="C212" s="169"/>
      <c r="D212" s="500" t="s">
        <v>167</v>
      </c>
      <c r="E212" s="493">
        <f>NETWORKDAYS(G212,H212,S.DDL_DEQClosed)</f>
        <v>1</v>
      </c>
      <c r="F212" s="373">
        <f ca="1">NETWORKDAYS(TODAY(),H212)</f>
        <v>24</v>
      </c>
      <c r="G212" s="370">
        <f>AAG212</f>
        <v>41414</v>
      </c>
      <c r="H212" s="370">
        <f>AAH212</f>
        <v>41414</v>
      </c>
      <c r="I212" s="629"/>
      <c r="J212" s="642"/>
      <c r="K212" s="643"/>
      <c r="L212" s="643"/>
      <c r="M212" s="643"/>
      <c r="N212" s="643"/>
      <c r="O212" s="643"/>
      <c r="P212" s="643"/>
      <c r="Q212" s="643"/>
      <c r="R212" s="643"/>
      <c r="S212" s="643"/>
      <c r="T212" s="643"/>
      <c r="U212" s="643"/>
      <c r="V212" s="643"/>
      <c r="W212" s="643"/>
      <c r="X212" s="643"/>
      <c r="Y212" s="643"/>
      <c r="Z212" s="643"/>
      <c r="AA212" s="643"/>
      <c r="AB212" s="643"/>
      <c r="AC212" s="643"/>
      <c r="AD212" s="643"/>
      <c r="AE212" s="643"/>
      <c r="AF212" s="643"/>
      <c r="AG212" s="643"/>
      <c r="AH212" s="643"/>
      <c r="AI212" s="643"/>
      <c r="AJ212" s="643"/>
      <c r="AK212" s="643"/>
      <c r="AL212" s="643"/>
      <c r="AM212" s="643"/>
      <c r="AN212" s="643"/>
      <c r="AO212" s="643"/>
      <c r="AP212" s="643"/>
      <c r="AQ212" s="643"/>
      <c r="AR212" s="643"/>
      <c r="AS212" s="643"/>
      <c r="AT212" s="643"/>
      <c r="AU212" s="643"/>
      <c r="AV212" s="643"/>
      <c r="AW212" s="643"/>
      <c r="AX212" s="643"/>
      <c r="AY212" s="643"/>
      <c r="AZ212" s="643"/>
      <c r="BA212" s="643"/>
      <c r="BB212" s="643"/>
      <c r="BC212" s="643"/>
      <c r="BD212" s="643"/>
      <c r="BE212" s="643"/>
      <c r="BF212" s="643"/>
      <c r="BG212" s="643"/>
      <c r="BH212" s="643"/>
      <c r="BI212" s="643"/>
      <c r="BJ212" s="643"/>
      <c r="BK212" s="643"/>
      <c r="BL212" s="643"/>
      <c r="BM212" s="643"/>
      <c r="BN212" s="643"/>
      <c r="BO212" s="643"/>
      <c r="BP212" s="643"/>
      <c r="BQ212" s="643"/>
      <c r="BR212" s="643"/>
      <c r="BS212" s="643"/>
      <c r="BT212" s="643"/>
      <c r="BU212" s="643"/>
      <c r="BV212" s="643"/>
      <c r="BW212" s="643"/>
      <c r="BX212" s="643"/>
      <c r="BY212" s="643"/>
      <c r="BZ212" s="643"/>
      <c r="CA212" s="643"/>
      <c r="CB212" s="643"/>
      <c r="CC212" s="643"/>
      <c r="CD212" s="643"/>
      <c r="CE212" s="643"/>
      <c r="CF212" s="643"/>
      <c r="CG212" s="643"/>
      <c r="CH212" s="643"/>
      <c r="CI212" s="643"/>
      <c r="CJ212" s="643"/>
      <c r="CK212" s="643"/>
      <c r="CL212" s="643"/>
      <c r="CM212" s="643"/>
      <c r="CN212" s="643"/>
      <c r="CO212" s="643"/>
      <c r="CP212" s="643"/>
      <c r="CQ212" s="643"/>
      <c r="CR212" s="643"/>
      <c r="CS212" s="643"/>
      <c r="CT212" s="643"/>
      <c r="CU212" s="643"/>
      <c r="CV212" s="643"/>
      <c r="CW212" s="643"/>
      <c r="CX212" s="643"/>
      <c r="CY212" s="643"/>
      <c r="CZ212" s="643"/>
      <c r="DA212" s="643"/>
      <c r="DB212" s="643"/>
      <c r="DC212" s="643"/>
      <c r="DD212" s="643"/>
      <c r="DE212" s="643"/>
      <c r="DF212" s="643"/>
      <c r="DG212" s="643"/>
      <c r="DH212" s="643"/>
      <c r="DI212" s="643"/>
      <c r="DJ212" s="643"/>
      <c r="DK212" s="643"/>
      <c r="DL212" s="643"/>
      <c r="DM212" s="643"/>
      <c r="DN212" s="643"/>
      <c r="DO212" s="643"/>
      <c r="DP212" s="643"/>
      <c r="DQ212" s="643"/>
      <c r="DR212" s="643"/>
      <c r="DS212" s="643"/>
      <c r="DT212" s="643"/>
      <c r="DU212" s="643"/>
      <c r="DV212" s="643"/>
      <c r="DW212" s="643"/>
      <c r="DX212" s="643"/>
      <c r="DY212" s="643"/>
      <c r="DZ212" s="643"/>
      <c r="EA212" s="643"/>
      <c r="EB212" s="643"/>
      <c r="EC212" s="643"/>
      <c r="ED212" s="643"/>
      <c r="EE212" s="643"/>
      <c r="EF212" s="643"/>
      <c r="EG212" s="643"/>
      <c r="EH212" s="643"/>
      <c r="EI212" s="643"/>
      <c r="EJ212" s="643"/>
      <c r="EK212" s="643"/>
      <c r="EL212" s="643"/>
      <c r="EM212" s="643"/>
      <c r="EN212" s="643"/>
      <c r="EO212" s="643"/>
      <c r="EP212" s="643"/>
      <c r="EQ212" s="643"/>
      <c r="ER212" s="643"/>
      <c r="ES212" s="643"/>
      <c r="ET212" s="643"/>
      <c r="EU212" s="643"/>
      <c r="EV212" s="643"/>
      <c r="EW212" s="643"/>
      <c r="EX212" s="643"/>
      <c r="EY212" s="643"/>
      <c r="EZ212" s="643"/>
      <c r="FA212" s="643"/>
      <c r="FB212" s="643"/>
      <c r="FC212" s="643"/>
      <c r="FD212" s="643"/>
      <c r="FE212" s="643"/>
      <c r="FF212" s="643"/>
      <c r="FG212" s="643"/>
      <c r="FH212" s="643"/>
      <c r="FI212" s="643"/>
      <c r="FJ212" s="643"/>
      <c r="FK212" s="643"/>
      <c r="FL212" s="643"/>
      <c r="FM212" s="643"/>
      <c r="FN212" s="643"/>
      <c r="FO212" s="643"/>
      <c r="FP212" s="643"/>
      <c r="FQ212" s="643"/>
      <c r="FR212" s="643"/>
      <c r="FS212" s="643"/>
      <c r="FT212" s="643"/>
      <c r="FU212" s="643"/>
      <c r="FV212" s="643"/>
      <c r="FW212" s="643"/>
      <c r="FX212" s="643"/>
      <c r="FY212" s="643"/>
      <c r="FZ212" s="643"/>
      <c r="GA212" s="643"/>
      <c r="GB212" s="643"/>
      <c r="GC212" s="643"/>
      <c r="GD212" s="643"/>
      <c r="GE212" s="643"/>
      <c r="GF212" s="643"/>
      <c r="GG212" s="643"/>
      <c r="GH212" s="643"/>
      <c r="GI212" s="643"/>
      <c r="GJ212" s="643"/>
      <c r="GK212" s="643"/>
      <c r="GL212" s="643"/>
      <c r="GM212" s="643"/>
      <c r="GN212" s="643"/>
      <c r="GO212" s="643"/>
      <c r="GP212" s="643"/>
      <c r="GQ212" s="643"/>
      <c r="GR212" s="643"/>
      <c r="GS212" s="643"/>
      <c r="GT212" s="643"/>
      <c r="GU212" s="643"/>
      <c r="GV212" s="643"/>
      <c r="GW212" s="643"/>
      <c r="GX212" s="643"/>
      <c r="GY212" s="643"/>
      <c r="GZ212" s="643"/>
      <c r="HA212" s="643"/>
      <c r="HB212" s="643"/>
      <c r="HC212" s="643"/>
      <c r="HD212" s="643"/>
      <c r="HE212" s="643"/>
      <c r="HF212" s="643"/>
      <c r="HG212" s="643"/>
      <c r="HH212" s="643"/>
      <c r="HI212" s="643"/>
      <c r="HJ212" s="643"/>
      <c r="HK212" s="643"/>
      <c r="HL212" s="643"/>
      <c r="HM212" s="643"/>
      <c r="HN212" s="643"/>
      <c r="HO212" s="643"/>
      <c r="HP212" s="643"/>
      <c r="HQ212" s="643"/>
      <c r="HR212" s="643"/>
      <c r="HS212" s="643"/>
      <c r="HT212" s="643"/>
      <c r="HU212" s="643"/>
      <c r="HV212" s="643"/>
      <c r="HW212" s="643"/>
      <c r="HX212" s="643"/>
      <c r="HY212" s="643"/>
      <c r="HZ212" s="643"/>
      <c r="IA212" s="643"/>
      <c r="IB212" s="643"/>
      <c r="IC212" s="643"/>
      <c r="ID212" s="643"/>
      <c r="IE212" s="643"/>
      <c r="IF212" s="643"/>
      <c r="IG212" s="643"/>
      <c r="IH212" s="643"/>
      <c r="II212" s="643"/>
      <c r="IJ212" s="643"/>
      <c r="IK212" s="643"/>
      <c r="IL212" s="643"/>
      <c r="IM212" s="643"/>
      <c r="IN212" s="643"/>
      <c r="IO212" s="643"/>
      <c r="IP212" s="643"/>
      <c r="IQ212" s="643"/>
      <c r="IR212" s="643"/>
      <c r="IS212" s="643"/>
      <c r="IT212" s="643"/>
      <c r="IU212" s="643"/>
      <c r="IV212" s="643"/>
      <c r="IW212" s="643"/>
      <c r="IX212" s="643"/>
      <c r="IY212" s="643"/>
      <c r="IZ212" s="643"/>
      <c r="JA212" s="643"/>
      <c r="JB212" s="643"/>
      <c r="JC212" s="643"/>
      <c r="JD212" s="643"/>
      <c r="JE212" s="643"/>
      <c r="JF212" s="643"/>
      <c r="JG212" s="643"/>
      <c r="JH212" s="643"/>
      <c r="JI212" s="643"/>
      <c r="JJ212" s="643"/>
      <c r="JK212" s="643"/>
      <c r="JL212" s="643"/>
      <c r="JM212" s="643"/>
      <c r="JN212" s="643"/>
      <c r="JO212" s="643"/>
      <c r="JP212" s="643"/>
      <c r="JQ212" s="643"/>
      <c r="JR212" s="643"/>
      <c r="JS212" s="643"/>
      <c r="JT212" s="643"/>
      <c r="JU212" s="643"/>
      <c r="JV212" s="643"/>
      <c r="JW212" s="643"/>
      <c r="JX212" s="643"/>
      <c r="JY212" s="643"/>
      <c r="JZ212" s="643"/>
      <c r="KA212" s="643"/>
      <c r="KB212" s="643"/>
      <c r="KC212" s="643"/>
      <c r="KD212" s="643"/>
      <c r="KE212" s="643"/>
      <c r="KF212" s="643"/>
      <c r="KG212" s="643"/>
      <c r="KH212" s="643"/>
      <c r="KI212" s="643"/>
      <c r="KJ212" s="643"/>
      <c r="KK212" s="643"/>
      <c r="KL212" s="643"/>
      <c r="KM212" s="643"/>
      <c r="KN212" s="643"/>
      <c r="KO212" s="643"/>
      <c r="KP212" s="643"/>
      <c r="KQ212" s="643"/>
      <c r="KR212" s="643"/>
      <c r="KS212" s="643"/>
      <c r="KT212" s="643"/>
      <c r="KU212" s="643"/>
      <c r="KV212" s="643"/>
      <c r="KW212" s="643"/>
      <c r="KX212" s="643"/>
      <c r="KY212" s="643"/>
      <c r="KZ212" s="643"/>
      <c r="LA212" s="643"/>
      <c r="LB212" s="643"/>
      <c r="LC212" s="643"/>
      <c r="LD212" s="643"/>
      <c r="LE212" s="643"/>
      <c r="LF212" s="643"/>
      <c r="LG212" s="643"/>
      <c r="LH212" s="643"/>
      <c r="LI212" s="643"/>
      <c r="LJ212" s="643"/>
      <c r="LK212" s="643"/>
      <c r="LL212" s="643"/>
      <c r="LM212" s="643"/>
      <c r="LN212" s="643"/>
      <c r="LO212" s="643"/>
      <c r="LP212" s="643"/>
      <c r="LQ212" s="643"/>
      <c r="LR212" s="643"/>
      <c r="LS212" s="643"/>
      <c r="LT212" s="643"/>
      <c r="LU212" s="643"/>
      <c r="LV212" s="643"/>
      <c r="LW212" s="643"/>
      <c r="LX212" s="643"/>
      <c r="LY212" s="643"/>
      <c r="LZ212" s="643"/>
      <c r="MA212" s="643"/>
      <c r="MB212" s="643"/>
      <c r="MC212" s="643"/>
      <c r="MD212" s="643"/>
      <c r="ME212" s="643"/>
      <c r="MF212" s="643"/>
      <c r="MG212" s="643"/>
      <c r="MH212" s="643"/>
      <c r="MI212" s="643"/>
      <c r="MJ212" s="643"/>
      <c r="MK212" s="643"/>
      <c r="ML212" s="643"/>
      <c r="MM212" s="643"/>
      <c r="MN212" s="643"/>
      <c r="MO212" s="643"/>
      <c r="MP212" s="643"/>
      <c r="MQ212" s="643"/>
      <c r="MR212" s="643"/>
      <c r="MS212" s="643"/>
      <c r="MT212" s="643"/>
      <c r="MU212" s="643"/>
      <c r="MV212" s="643"/>
      <c r="MW212" s="643"/>
      <c r="MX212" s="643"/>
      <c r="MY212" s="643"/>
      <c r="MZ212" s="643"/>
      <c r="NA212" s="643"/>
      <c r="NB212" s="643"/>
      <c r="NC212" s="643"/>
      <c r="ND212" s="643"/>
      <c r="NE212" s="643"/>
      <c r="NF212" s="643"/>
      <c r="NG212" s="643"/>
      <c r="NH212" s="643"/>
      <c r="NI212" s="643"/>
      <c r="NJ212" s="643"/>
      <c r="NK212" s="643"/>
      <c r="NL212" s="643"/>
      <c r="NM212" s="643"/>
      <c r="NN212" s="643"/>
      <c r="NO212" s="643"/>
      <c r="NP212" s="643"/>
      <c r="NQ212" s="643"/>
      <c r="NR212" s="643"/>
      <c r="NS212" s="643"/>
      <c r="NT212" s="643"/>
      <c r="NU212" s="643"/>
      <c r="NV212" s="643"/>
      <c r="NW212" s="643"/>
      <c r="NX212" s="643"/>
      <c r="NY212" s="643"/>
      <c r="NZ212" s="643"/>
      <c r="OA212" s="643"/>
      <c r="OB212" s="643"/>
      <c r="OC212" s="643"/>
      <c r="OD212" s="643"/>
      <c r="OE212" s="643"/>
      <c r="OF212" s="643"/>
      <c r="OG212" s="643"/>
      <c r="OH212" s="643"/>
      <c r="OI212" s="643"/>
      <c r="OJ212" s="643"/>
      <c r="OK212" s="643"/>
      <c r="OL212" s="643"/>
      <c r="OM212" s="643"/>
      <c r="ON212" s="643"/>
      <c r="OO212" s="643"/>
      <c r="OP212" s="643"/>
      <c r="OQ212" s="643"/>
      <c r="OR212" s="643"/>
      <c r="OS212" s="643"/>
      <c r="OT212" s="643"/>
      <c r="OU212" s="643"/>
      <c r="OV212" s="643"/>
      <c r="OW212" s="643"/>
      <c r="OX212" s="643"/>
      <c r="OY212" s="643"/>
      <c r="OZ212" s="643"/>
      <c r="PA212" s="643"/>
      <c r="PB212" s="643"/>
      <c r="PC212" s="643"/>
      <c r="PD212" s="643"/>
      <c r="PE212" s="643"/>
      <c r="PF212" s="643"/>
      <c r="PG212" s="643"/>
      <c r="PH212" s="643"/>
      <c r="PI212" s="643"/>
      <c r="PJ212" s="643"/>
      <c r="PK212" s="643"/>
      <c r="PL212" s="643"/>
      <c r="PM212" s="643"/>
      <c r="PN212" s="643"/>
      <c r="PO212" s="643"/>
      <c r="PP212" s="643"/>
      <c r="PQ212" s="643"/>
      <c r="PR212" s="643"/>
      <c r="PS212" s="643"/>
      <c r="PT212" s="643"/>
      <c r="PU212" s="643"/>
      <c r="PV212" s="643"/>
      <c r="PW212" s="643"/>
      <c r="PX212" s="643"/>
      <c r="PY212" s="643"/>
      <c r="PZ212" s="643"/>
      <c r="QA212" s="643"/>
      <c r="QB212" s="643"/>
      <c r="QC212" s="643"/>
      <c r="QD212" s="643"/>
      <c r="QE212" s="643"/>
      <c r="QF212" s="643"/>
      <c r="QG212" s="643"/>
      <c r="QH212" s="643"/>
      <c r="QI212" s="643"/>
      <c r="QJ212" s="643"/>
      <c r="QK212" s="643"/>
      <c r="QL212" s="643"/>
      <c r="QM212" s="643"/>
      <c r="QN212" s="643"/>
      <c r="QO212" s="643"/>
      <c r="QP212" s="643"/>
      <c r="QQ212" s="643"/>
      <c r="QR212" s="643"/>
      <c r="QS212" s="643"/>
      <c r="QT212" s="643"/>
      <c r="QU212" s="643"/>
      <c r="QV212" s="643"/>
      <c r="QW212" s="643"/>
      <c r="QX212" s="643"/>
      <c r="QY212" s="643"/>
      <c r="QZ212" s="643"/>
      <c r="RA212" s="643"/>
      <c r="RB212" s="643"/>
      <c r="RC212" s="643"/>
      <c r="RD212" s="643"/>
      <c r="RE212" s="643"/>
      <c r="RF212" s="643"/>
      <c r="RG212" s="643"/>
      <c r="RH212" s="643"/>
      <c r="RI212" s="643"/>
      <c r="RJ212" s="643"/>
      <c r="RK212" s="643"/>
      <c r="RL212" s="643"/>
      <c r="RM212" s="643"/>
      <c r="RN212" s="643"/>
      <c r="RO212" s="643"/>
      <c r="RP212" s="643"/>
      <c r="RQ212" s="643"/>
      <c r="RR212" s="643"/>
      <c r="RS212" s="643"/>
      <c r="RT212" s="643"/>
      <c r="RU212" s="643"/>
      <c r="RV212" s="643"/>
      <c r="RW212" s="643"/>
      <c r="RX212" s="643"/>
      <c r="RY212" s="643"/>
      <c r="RZ212" s="643"/>
      <c r="SA212" s="643"/>
      <c r="SB212" s="643"/>
      <c r="SC212" s="643"/>
      <c r="SD212" s="643"/>
      <c r="SE212" s="643"/>
      <c r="SF212" s="643"/>
      <c r="SG212" s="643"/>
      <c r="SH212" s="643"/>
      <c r="SI212" s="643"/>
      <c r="SJ212" s="643"/>
      <c r="SK212" s="643"/>
      <c r="SL212" s="643"/>
      <c r="SM212" s="643"/>
      <c r="SN212" s="643"/>
      <c r="SO212" s="643"/>
      <c r="SP212" s="643"/>
      <c r="SQ212" s="643"/>
      <c r="SR212" s="643"/>
      <c r="SS212" s="643"/>
      <c r="ST212" s="643"/>
      <c r="SU212" s="643"/>
      <c r="SV212" s="643"/>
      <c r="SW212" s="643"/>
      <c r="SX212" s="643"/>
      <c r="SY212" s="643"/>
      <c r="SZ212" s="643"/>
      <c r="TA212" s="643"/>
      <c r="TB212" s="643"/>
      <c r="TC212" s="643"/>
      <c r="TD212" s="643"/>
      <c r="TE212" s="643"/>
      <c r="TF212" s="643"/>
      <c r="TG212" s="643"/>
      <c r="TH212" s="643"/>
      <c r="TI212" s="643"/>
      <c r="TJ212" s="643"/>
      <c r="TK212" s="643"/>
      <c r="TL212" s="643"/>
      <c r="TM212" s="643"/>
      <c r="TN212" s="643"/>
      <c r="TO212" s="643"/>
      <c r="TP212" s="643"/>
      <c r="TQ212" s="643"/>
      <c r="TR212" s="643"/>
      <c r="TS212" s="643"/>
      <c r="TT212" s="643"/>
      <c r="TU212" s="643"/>
      <c r="TV212" s="643"/>
      <c r="TW212" s="643"/>
      <c r="TX212" s="643"/>
      <c r="TY212" s="643"/>
      <c r="TZ212" s="643"/>
      <c r="UA212" s="643"/>
      <c r="UB212" s="643"/>
      <c r="UC212" s="643"/>
      <c r="UD212" s="643"/>
      <c r="UE212" s="643"/>
      <c r="UF212" s="643"/>
      <c r="UG212" s="643"/>
      <c r="UH212" s="643"/>
      <c r="UI212" s="643"/>
      <c r="UJ212" s="643"/>
      <c r="UK212" s="643"/>
      <c r="UL212" s="643"/>
      <c r="UM212" s="643"/>
      <c r="UN212" s="643"/>
      <c r="UO212" s="643"/>
      <c r="UP212" s="643"/>
      <c r="UQ212" s="643"/>
      <c r="UR212" s="643"/>
      <c r="US212" s="643"/>
      <c r="UT212" s="643"/>
      <c r="UU212" s="643"/>
      <c r="UV212" s="643"/>
      <c r="UW212" s="643"/>
      <c r="UX212" s="643"/>
      <c r="UY212" s="643"/>
      <c r="UZ212" s="643"/>
      <c r="VA212" s="643"/>
      <c r="VB212" s="643"/>
      <c r="VC212" s="643"/>
      <c r="VD212" s="643"/>
      <c r="VE212" s="643"/>
      <c r="VF212" s="643"/>
      <c r="VG212" s="643"/>
      <c r="VH212" s="643"/>
      <c r="VI212" s="643"/>
      <c r="VJ212" s="643"/>
      <c r="VK212" s="643"/>
      <c r="VL212" s="643"/>
      <c r="VM212" s="643"/>
      <c r="VN212" s="643"/>
      <c r="VO212" s="643"/>
      <c r="VP212" s="643"/>
      <c r="VQ212" s="643"/>
      <c r="VR212" s="643"/>
      <c r="VS212" s="643"/>
      <c r="VT212" s="643"/>
      <c r="VU212" s="643"/>
      <c r="VV212" s="643"/>
      <c r="VW212" s="643"/>
      <c r="VX212" s="643"/>
      <c r="VY212" s="643"/>
      <c r="VZ212" s="643"/>
      <c r="WA212" s="643"/>
      <c r="WB212" s="643"/>
      <c r="WC212" s="643"/>
      <c r="WD212" s="643"/>
      <c r="WE212" s="643"/>
      <c r="WF212" s="643"/>
      <c r="WG212" s="643"/>
      <c r="WH212" s="643"/>
      <c r="WI212" s="643"/>
      <c r="WJ212" s="643"/>
      <c r="WK212" s="643"/>
      <c r="WL212" s="643"/>
      <c r="WM212" s="643"/>
      <c r="WN212" s="643"/>
      <c r="WO212" s="643"/>
      <c r="WP212" s="643"/>
      <c r="WQ212" s="643"/>
      <c r="WR212" s="643"/>
      <c r="WS212" s="643"/>
      <c r="WT212" s="643"/>
      <c r="WU212" s="643"/>
      <c r="WV212" s="643"/>
      <c r="WW212" s="643"/>
      <c r="WX212" s="643"/>
      <c r="WY212" s="643"/>
      <c r="WZ212" s="643"/>
      <c r="XA212" s="643"/>
      <c r="XB212" s="643"/>
      <c r="XC212" s="643"/>
      <c r="XD212" s="643"/>
      <c r="XE212" s="643"/>
      <c r="XF212" s="643"/>
      <c r="XG212" s="643"/>
      <c r="XH212" s="643"/>
      <c r="XI212" s="643"/>
      <c r="XJ212" s="643"/>
      <c r="XK212" s="643"/>
      <c r="XL212" s="643"/>
      <c r="XM212" s="643"/>
      <c r="XN212" s="643"/>
      <c r="XO212" s="643"/>
      <c r="XP212" s="643"/>
      <c r="XQ212" s="643"/>
      <c r="XR212" s="643"/>
      <c r="XS212" s="643"/>
      <c r="XT212" s="643"/>
      <c r="XU212" s="643"/>
      <c r="XV212" s="643"/>
      <c r="XW212" s="643"/>
      <c r="XX212" s="643"/>
      <c r="XY212" s="643"/>
      <c r="XZ212" s="643"/>
      <c r="YA212" s="643"/>
      <c r="YB212" s="643"/>
      <c r="YC212" s="643"/>
      <c r="YD212" s="643"/>
      <c r="YE212" s="643"/>
      <c r="YF212" s="643"/>
      <c r="YG212" s="643"/>
      <c r="YH212" s="643"/>
      <c r="YI212" s="643"/>
      <c r="YJ212" s="643"/>
      <c r="YK212" s="643"/>
      <c r="YL212" s="643"/>
      <c r="YM212" s="643"/>
      <c r="YN212" s="643"/>
      <c r="YO212" s="643"/>
      <c r="YP212" s="643"/>
      <c r="YQ212" s="643"/>
      <c r="YR212" s="643"/>
      <c r="YS212" s="643"/>
      <c r="YT212" s="643"/>
      <c r="YU212" s="643"/>
      <c r="YV212" s="643"/>
      <c r="YW212" s="643"/>
      <c r="YX212" s="643"/>
      <c r="YY212" s="643"/>
      <c r="YZ212" s="643"/>
      <c r="ZA212" s="643"/>
      <c r="ZB212" s="643"/>
      <c r="ZC212" s="643"/>
      <c r="ZD212" s="643"/>
      <c r="ZE212" s="643"/>
      <c r="ZF212" s="643"/>
      <c r="ZG212" s="643"/>
      <c r="ZH212" s="643"/>
      <c r="ZI212" s="643"/>
      <c r="ZJ212" s="643"/>
      <c r="ZK212" s="643"/>
      <c r="ZL212" s="643"/>
      <c r="ZM212" s="643"/>
      <c r="ZN212" s="643"/>
      <c r="ZO212" s="643"/>
      <c r="ZP212" s="643"/>
      <c r="ZQ212" s="643"/>
      <c r="ZR212" s="643"/>
      <c r="ZS212" s="643"/>
      <c r="ZT212" s="643"/>
      <c r="ZU212" s="643"/>
      <c r="ZV212" s="643"/>
      <c r="ZW212" s="643"/>
      <c r="ZX212" s="643"/>
      <c r="ZY212" s="50"/>
      <c r="ZZ212" s="50"/>
      <c r="AAA212" s="590"/>
      <c r="AAD212" s="113"/>
      <c r="AAE212" s="553">
        <f>IF(S.InvolveFee=TRUE,1,0)</f>
        <v>1</v>
      </c>
      <c r="AAF212" s="113" t="s">
        <v>0</v>
      </c>
      <c r="AAG212" s="78">
        <f>S.BANNER.FeeStart</f>
        <v>41414</v>
      </c>
      <c r="AAH212" s="78">
        <f>G212</f>
        <v>41414</v>
      </c>
      <c r="AAI212" s="77"/>
      <c r="AAJ212" s="77"/>
      <c r="AAK212" s="77"/>
      <c r="AAL212" s="80"/>
      <c r="AAM212" s="113"/>
      <c r="AAN212"/>
      <c r="AAT212" s="23"/>
      <c r="AAU212" s="44"/>
      <c r="AAV212" s="23"/>
      <c r="AAW212" s="23"/>
      <c r="AAX212" s="23"/>
      <c r="AAY212" s="23"/>
      <c r="AAZ212" s="23"/>
      <c r="ABA212" s="23"/>
      <c r="ABB212" s="23"/>
      <c r="ABC212" s="23"/>
      <c r="ABD212" s="23"/>
    </row>
    <row r="213" spans="1:732" s="23" customFormat="1" ht="18" customHeight="1" outlineLevel="1">
      <c r="A213" s="560"/>
      <c r="B213" s="534" t="str">
        <f>AAL213</f>
        <v>See DAS approval sequence below</v>
      </c>
      <c r="C213" s="533"/>
      <c r="D213" s="500" t="s">
        <v>167</v>
      </c>
      <c r="E213" s="493">
        <f t="shared" ref="E213" si="892">NETWORKDAYS(G213,H213,S.DDL_DEQClosed)</f>
        <v>38</v>
      </c>
      <c r="F213" s="373">
        <f ca="1">NETWORKDAYS(TODAY(),H213)</f>
        <v>64</v>
      </c>
      <c r="G213" s="370">
        <f>AAG213</f>
        <v>41414</v>
      </c>
      <c r="H213" s="370">
        <f>AAH213</f>
        <v>41470</v>
      </c>
      <c r="I213" s="629"/>
      <c r="J213" s="594"/>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50"/>
      <c r="BU213" s="50"/>
      <c r="BV213" s="50"/>
      <c r="BW213" s="50"/>
      <c r="BX213" s="50"/>
      <c r="BY213" s="50"/>
      <c r="BZ213" s="50"/>
      <c r="CA213" s="50"/>
      <c r="CB213" s="50"/>
      <c r="CC213" s="50"/>
      <c r="CD213" s="50"/>
      <c r="CE213" s="50"/>
      <c r="CF213" s="50"/>
      <c r="CG213" s="50"/>
      <c r="CH213" s="50"/>
      <c r="CI213" s="50"/>
      <c r="CJ213" s="50"/>
      <c r="CK213" s="50"/>
      <c r="CL213" s="50"/>
      <c r="CM213" s="50"/>
      <c r="CN213" s="50"/>
      <c r="CO213" s="50"/>
      <c r="CP213" s="50"/>
      <c r="CQ213" s="50"/>
      <c r="CR213" s="50"/>
      <c r="CS213" s="50"/>
      <c r="CT213" s="50"/>
      <c r="CU213" s="50"/>
      <c r="CV213" s="50"/>
      <c r="CW213" s="50"/>
      <c r="CX213" s="50"/>
      <c r="CY213" s="50"/>
      <c r="CZ213" s="50"/>
      <c r="DA213" s="50"/>
      <c r="DB213" s="50"/>
      <c r="DC213" s="50"/>
      <c r="DD213" s="50"/>
      <c r="DE213" s="50"/>
      <c r="DF213" s="50"/>
      <c r="DG213" s="50"/>
      <c r="DH213" s="50"/>
      <c r="DI213" s="50"/>
      <c r="DJ213" s="50"/>
      <c r="DK213" s="50"/>
      <c r="DL213" s="50"/>
      <c r="DM213" s="50"/>
      <c r="DN213" s="50"/>
      <c r="DO213" s="50"/>
      <c r="DP213" s="50"/>
      <c r="DQ213" s="50"/>
      <c r="DR213" s="50"/>
      <c r="DS213" s="50"/>
      <c r="DT213" s="50"/>
      <c r="DU213" s="50"/>
      <c r="DV213" s="50"/>
      <c r="DW213" s="50"/>
      <c r="DX213" s="50"/>
      <c r="DY213" s="50"/>
      <c r="DZ213" s="50"/>
      <c r="EA213" s="50"/>
      <c r="EB213" s="50"/>
      <c r="EC213" s="50"/>
      <c r="ED213" s="50"/>
      <c r="EE213" s="50"/>
      <c r="EF213" s="50"/>
      <c r="EG213" s="50"/>
      <c r="EH213" s="50"/>
      <c r="EI213" s="50"/>
      <c r="EJ213" s="50"/>
      <c r="EK213" s="50"/>
      <c r="EL213" s="50"/>
      <c r="EM213" s="50"/>
      <c r="EN213" s="50"/>
      <c r="EO213" s="50"/>
      <c r="EP213" s="50"/>
      <c r="EQ213" s="50"/>
      <c r="ER213" s="50"/>
      <c r="ES213" s="50"/>
      <c r="ET213" s="50"/>
      <c r="EU213" s="50"/>
      <c r="EV213" s="50"/>
      <c r="EW213" s="50"/>
      <c r="EX213" s="50"/>
      <c r="EY213" s="50"/>
      <c r="EZ213" s="50"/>
      <c r="FA213" s="50"/>
      <c r="FB213" s="50"/>
      <c r="FC213" s="50"/>
      <c r="FD213" s="50"/>
      <c r="FE213" s="50"/>
      <c r="FF213" s="50"/>
      <c r="FG213" s="50"/>
      <c r="FH213" s="50"/>
      <c r="FI213" s="50"/>
      <c r="FJ213" s="50"/>
      <c r="FK213" s="50"/>
      <c r="FL213" s="50"/>
      <c r="FM213" s="50"/>
      <c r="FN213" s="50"/>
      <c r="FO213" s="50"/>
      <c r="FP213" s="50"/>
      <c r="FQ213" s="50"/>
      <c r="FR213" s="50"/>
      <c r="FS213" s="50"/>
      <c r="FT213" s="50"/>
      <c r="FU213" s="50"/>
      <c r="FV213" s="50"/>
      <c r="FW213" s="50"/>
      <c r="FX213" s="50"/>
      <c r="FY213" s="50"/>
      <c r="FZ213" s="50"/>
      <c r="GA213" s="50"/>
      <c r="GB213" s="50"/>
      <c r="GC213" s="50"/>
      <c r="GD213" s="50"/>
      <c r="GE213" s="50"/>
      <c r="GF213" s="50"/>
      <c r="GG213" s="50"/>
      <c r="GH213" s="50"/>
      <c r="GI213" s="50"/>
      <c r="GJ213" s="50"/>
      <c r="GK213" s="50"/>
      <c r="GL213" s="50"/>
      <c r="GM213" s="50"/>
      <c r="GN213" s="50"/>
      <c r="GO213" s="50"/>
      <c r="GP213" s="50"/>
      <c r="GQ213" s="50"/>
      <c r="GR213" s="50"/>
      <c r="GS213" s="50"/>
      <c r="GT213" s="50"/>
      <c r="GU213" s="50"/>
      <c r="GV213" s="50"/>
      <c r="GW213" s="50"/>
      <c r="GX213" s="50"/>
      <c r="GY213" s="50"/>
      <c r="GZ213" s="50"/>
      <c r="HA213" s="50"/>
      <c r="HB213" s="50"/>
      <c r="HC213" s="50"/>
      <c r="HD213" s="50"/>
      <c r="HE213" s="50"/>
      <c r="HF213" s="50"/>
      <c r="HG213" s="50"/>
      <c r="HH213" s="50"/>
      <c r="HI213" s="50"/>
      <c r="HJ213" s="50"/>
      <c r="HK213" s="50"/>
      <c r="HL213" s="50"/>
      <c r="HM213" s="50"/>
      <c r="HN213" s="50"/>
      <c r="HO213" s="50"/>
      <c r="HP213" s="50"/>
      <c r="HQ213" s="50"/>
      <c r="HR213" s="50"/>
      <c r="HS213" s="50"/>
      <c r="HT213" s="50"/>
      <c r="HU213" s="50"/>
      <c r="HV213" s="50"/>
      <c r="HW213" s="50"/>
      <c r="HX213" s="50"/>
      <c r="HY213" s="50"/>
      <c r="HZ213" s="50"/>
      <c r="IA213" s="50"/>
      <c r="IB213" s="50"/>
      <c r="IC213" s="50"/>
      <c r="ID213" s="50"/>
      <c r="IE213" s="50"/>
      <c r="IF213" s="50"/>
      <c r="IG213" s="50"/>
      <c r="IH213" s="50"/>
      <c r="II213" s="50"/>
      <c r="IJ213" s="50"/>
      <c r="IK213" s="50"/>
      <c r="IL213" s="50"/>
      <c r="IM213" s="50"/>
      <c r="IN213" s="50"/>
      <c r="IO213" s="50"/>
      <c r="IP213" s="50"/>
      <c r="IQ213" s="50"/>
      <c r="IR213" s="50"/>
      <c r="IS213" s="50"/>
      <c r="IT213" s="50"/>
      <c r="IU213" s="50"/>
      <c r="IV213" s="50"/>
      <c r="IW213" s="50"/>
      <c r="IX213" s="50"/>
      <c r="IY213" s="50"/>
      <c r="IZ213" s="50"/>
      <c r="JA213" s="50"/>
      <c r="JB213" s="50"/>
      <c r="JC213" s="50"/>
      <c r="JD213" s="50"/>
      <c r="JE213" s="50"/>
      <c r="JF213" s="50"/>
      <c r="JG213" s="50"/>
      <c r="JH213" s="50"/>
      <c r="JI213" s="50"/>
      <c r="JJ213" s="50"/>
      <c r="JK213" s="50"/>
      <c r="JL213" s="50"/>
      <c r="JM213" s="50"/>
      <c r="JN213" s="50"/>
      <c r="JO213" s="50"/>
      <c r="JP213" s="50"/>
      <c r="JQ213" s="50"/>
      <c r="JR213" s="50"/>
      <c r="JS213" s="50"/>
      <c r="JT213" s="50"/>
      <c r="JU213" s="50"/>
      <c r="JV213" s="50"/>
      <c r="JW213" s="50"/>
      <c r="JX213" s="50"/>
      <c r="JY213" s="50"/>
      <c r="JZ213" s="50"/>
      <c r="KA213" s="50"/>
      <c r="KB213" s="50"/>
      <c r="KC213" s="50"/>
      <c r="KD213" s="50"/>
      <c r="KE213" s="50"/>
      <c r="KF213" s="50"/>
      <c r="KG213" s="50"/>
      <c r="KH213" s="50"/>
      <c r="KI213" s="50"/>
      <c r="KJ213" s="50"/>
      <c r="KK213" s="50"/>
      <c r="KL213" s="50"/>
      <c r="KM213" s="50"/>
      <c r="KN213" s="50"/>
      <c r="KO213" s="50"/>
      <c r="KP213" s="50"/>
      <c r="KQ213" s="50"/>
      <c r="KR213" s="50"/>
      <c r="KS213" s="50"/>
      <c r="KT213" s="50"/>
      <c r="KU213" s="50"/>
      <c r="KV213" s="50"/>
      <c r="KW213" s="50"/>
      <c r="KX213" s="50"/>
      <c r="KY213" s="50"/>
      <c r="KZ213" s="50"/>
      <c r="LA213" s="50"/>
      <c r="LB213" s="50"/>
      <c r="LC213" s="50"/>
      <c r="LD213" s="50"/>
      <c r="LE213" s="50"/>
      <c r="LF213" s="50"/>
      <c r="LG213" s="50"/>
      <c r="LH213" s="50"/>
      <c r="LI213" s="50"/>
      <c r="LJ213" s="50"/>
      <c r="LK213" s="50"/>
      <c r="LL213" s="50"/>
      <c r="LM213" s="50"/>
      <c r="LN213" s="50"/>
      <c r="LO213" s="50"/>
      <c r="LP213" s="50"/>
      <c r="LQ213" s="50"/>
      <c r="LR213" s="50"/>
      <c r="LS213" s="50"/>
      <c r="LT213" s="50"/>
      <c r="LU213" s="50"/>
      <c r="LV213" s="50"/>
      <c r="LW213" s="50"/>
      <c r="LX213" s="50"/>
      <c r="LY213" s="50"/>
      <c r="LZ213" s="50"/>
      <c r="MA213" s="50"/>
      <c r="MB213" s="50"/>
      <c r="MC213" s="50"/>
      <c r="MD213" s="50"/>
      <c r="ME213" s="50"/>
      <c r="MF213" s="50"/>
      <c r="MG213" s="50"/>
      <c r="MH213" s="50"/>
      <c r="MI213" s="50"/>
      <c r="MJ213" s="50"/>
      <c r="MK213" s="50"/>
      <c r="ML213" s="50"/>
      <c r="MM213" s="50"/>
      <c r="MN213" s="50"/>
      <c r="MO213" s="50"/>
      <c r="MP213" s="50"/>
      <c r="MQ213" s="50"/>
      <c r="MR213" s="50"/>
      <c r="MS213" s="50"/>
      <c r="MT213" s="50"/>
      <c r="MU213" s="50"/>
      <c r="MV213" s="50"/>
      <c r="MW213" s="50"/>
      <c r="MX213" s="50"/>
      <c r="MY213" s="50"/>
      <c r="MZ213" s="50"/>
      <c r="NA213" s="50"/>
      <c r="NB213" s="50"/>
      <c r="NC213" s="50"/>
      <c r="ND213" s="50"/>
      <c r="NE213" s="50"/>
      <c r="NF213" s="50"/>
      <c r="NG213" s="50"/>
      <c r="NH213" s="50"/>
      <c r="NI213" s="50"/>
      <c r="NJ213" s="50"/>
      <c r="NK213" s="50"/>
      <c r="NL213" s="50"/>
      <c r="NM213" s="50"/>
      <c r="NN213" s="50"/>
      <c r="NO213" s="50"/>
      <c r="NP213" s="50"/>
      <c r="NQ213" s="50"/>
      <c r="NR213" s="50"/>
      <c r="NS213" s="50"/>
      <c r="NT213" s="50"/>
      <c r="NU213" s="50"/>
      <c r="NV213" s="50"/>
      <c r="NW213" s="50"/>
      <c r="NX213" s="50"/>
      <c r="NY213" s="50"/>
      <c r="NZ213" s="50"/>
      <c r="OA213" s="50"/>
      <c r="OB213" s="50"/>
      <c r="OC213" s="50"/>
      <c r="OD213" s="50"/>
      <c r="OE213" s="50"/>
      <c r="OF213" s="50"/>
      <c r="OG213" s="50"/>
      <c r="OH213" s="50"/>
      <c r="OI213" s="50"/>
      <c r="OJ213" s="50"/>
      <c r="OK213" s="50"/>
      <c r="OL213" s="50"/>
      <c r="OM213" s="50"/>
      <c r="ON213" s="50"/>
      <c r="OO213" s="50"/>
      <c r="OP213" s="50"/>
      <c r="OQ213" s="50"/>
      <c r="OR213" s="50"/>
      <c r="OS213" s="50"/>
      <c r="OT213" s="50"/>
      <c r="OU213" s="50"/>
      <c r="OV213" s="50"/>
      <c r="OW213" s="50"/>
      <c r="OX213" s="50"/>
      <c r="OY213" s="50"/>
      <c r="OZ213" s="50"/>
      <c r="PA213" s="50"/>
      <c r="PB213" s="50"/>
      <c r="PC213" s="50"/>
      <c r="PD213" s="50"/>
      <c r="PE213" s="50"/>
      <c r="PF213" s="50"/>
      <c r="PG213" s="50"/>
      <c r="PH213" s="50"/>
      <c r="PI213" s="50"/>
      <c r="PJ213" s="50"/>
      <c r="PK213" s="50"/>
      <c r="PL213" s="50"/>
      <c r="PM213" s="50"/>
      <c r="PN213" s="50"/>
      <c r="PO213" s="50"/>
      <c r="PP213" s="50"/>
      <c r="PQ213" s="50"/>
      <c r="PR213" s="50"/>
      <c r="PS213" s="50"/>
      <c r="PT213" s="50"/>
      <c r="PU213" s="50"/>
      <c r="PV213" s="50"/>
      <c r="PW213" s="50"/>
      <c r="PX213" s="50"/>
      <c r="PY213" s="50"/>
      <c r="PZ213" s="50"/>
      <c r="QA213" s="50"/>
      <c r="QB213" s="50"/>
      <c r="QC213" s="50"/>
      <c r="QD213" s="50"/>
      <c r="QE213" s="50"/>
      <c r="QF213" s="50"/>
      <c r="QG213" s="50"/>
      <c r="QH213" s="50"/>
      <c r="QI213" s="50"/>
      <c r="QJ213" s="50"/>
      <c r="QK213" s="50"/>
      <c r="QL213" s="50"/>
      <c r="QM213" s="50"/>
      <c r="QN213" s="50"/>
      <c r="QO213" s="50"/>
      <c r="QP213" s="50"/>
      <c r="QQ213" s="50"/>
      <c r="QR213" s="50"/>
      <c r="QS213" s="50"/>
      <c r="QT213" s="50"/>
      <c r="QU213" s="50"/>
      <c r="QV213" s="50"/>
      <c r="QW213" s="50"/>
      <c r="QX213" s="50"/>
      <c r="QY213" s="50"/>
      <c r="QZ213" s="50"/>
      <c r="RA213" s="50"/>
      <c r="RB213" s="50"/>
      <c r="RC213" s="50"/>
      <c r="RD213" s="50"/>
      <c r="RE213" s="50"/>
      <c r="RF213" s="50"/>
      <c r="RG213" s="50"/>
      <c r="RH213" s="50"/>
      <c r="RI213" s="50"/>
      <c r="RJ213" s="50"/>
      <c r="RK213" s="50"/>
      <c r="RL213" s="50"/>
      <c r="RM213" s="50"/>
      <c r="RN213" s="50"/>
      <c r="RO213" s="50"/>
      <c r="RP213" s="50"/>
      <c r="RQ213" s="50"/>
      <c r="RR213" s="50"/>
      <c r="RS213" s="50"/>
      <c r="RT213" s="50"/>
      <c r="RU213" s="50"/>
      <c r="RV213" s="50"/>
      <c r="RW213" s="50"/>
      <c r="RX213" s="50"/>
      <c r="RY213" s="50"/>
      <c r="RZ213" s="50"/>
      <c r="SA213" s="50"/>
      <c r="SB213" s="50"/>
      <c r="SC213" s="50"/>
      <c r="SD213" s="50"/>
      <c r="SE213" s="50"/>
      <c r="SF213" s="50"/>
      <c r="SG213" s="50"/>
      <c r="SH213" s="50"/>
      <c r="SI213" s="50"/>
      <c r="SJ213" s="50"/>
      <c r="SK213" s="50"/>
      <c r="SL213" s="50"/>
      <c r="SM213" s="50"/>
      <c r="SN213" s="50"/>
      <c r="SO213" s="50"/>
      <c r="SP213" s="50"/>
      <c r="SQ213" s="50"/>
      <c r="SR213" s="50"/>
      <c r="SS213" s="50"/>
      <c r="ST213" s="50"/>
      <c r="SU213" s="50"/>
      <c r="SV213" s="50"/>
      <c r="SW213" s="50"/>
      <c r="SX213" s="50"/>
      <c r="SY213" s="50"/>
      <c r="SZ213" s="50"/>
      <c r="TA213" s="50"/>
      <c r="TB213" s="50"/>
      <c r="TC213" s="50"/>
      <c r="TD213" s="50"/>
      <c r="TE213" s="50"/>
      <c r="TF213" s="50"/>
      <c r="TG213" s="50"/>
      <c r="TH213" s="50"/>
      <c r="TI213" s="50"/>
      <c r="TJ213" s="50"/>
      <c r="TK213" s="50"/>
      <c r="TL213" s="50"/>
      <c r="TM213" s="50"/>
      <c r="TN213" s="50"/>
      <c r="TO213" s="50"/>
      <c r="TP213" s="50"/>
      <c r="TQ213" s="50"/>
      <c r="TR213" s="50"/>
      <c r="TS213" s="50"/>
      <c r="TT213" s="50"/>
      <c r="TU213" s="50"/>
      <c r="TV213" s="50"/>
      <c r="TW213" s="50"/>
      <c r="TX213" s="50"/>
      <c r="TY213" s="50"/>
      <c r="TZ213" s="50"/>
      <c r="UA213" s="50"/>
      <c r="UB213" s="50"/>
      <c r="UC213" s="50"/>
      <c r="UD213" s="50"/>
      <c r="UE213" s="50"/>
      <c r="UF213" s="50"/>
      <c r="UG213" s="50"/>
      <c r="UH213" s="50"/>
      <c r="UI213" s="50"/>
      <c r="UJ213" s="50"/>
      <c r="UK213" s="50"/>
      <c r="UL213" s="50"/>
      <c r="UM213" s="50"/>
      <c r="UN213" s="50"/>
      <c r="UO213" s="50"/>
      <c r="UP213" s="50"/>
      <c r="UQ213" s="50"/>
      <c r="UR213" s="50"/>
      <c r="US213" s="50"/>
      <c r="UT213" s="50"/>
      <c r="UU213" s="50"/>
      <c r="UV213" s="50"/>
      <c r="UW213" s="50"/>
      <c r="UX213" s="50"/>
      <c r="UY213" s="50"/>
      <c r="UZ213" s="50"/>
      <c r="VA213" s="50"/>
      <c r="VB213" s="50"/>
      <c r="VC213" s="50"/>
      <c r="VD213" s="50"/>
      <c r="VE213" s="50"/>
      <c r="VF213" s="50"/>
      <c r="VG213" s="50"/>
      <c r="VH213" s="50"/>
      <c r="VI213" s="50"/>
      <c r="VJ213" s="50"/>
      <c r="VK213" s="50"/>
      <c r="VL213" s="50"/>
      <c r="VM213" s="50"/>
      <c r="VN213" s="50"/>
      <c r="VO213" s="50"/>
      <c r="VP213" s="50"/>
      <c r="VQ213" s="50"/>
      <c r="VR213" s="50"/>
      <c r="VS213" s="50"/>
      <c r="VT213" s="50"/>
      <c r="VU213" s="50"/>
      <c r="VV213" s="50"/>
      <c r="VW213" s="50"/>
      <c r="VX213" s="50"/>
      <c r="VY213" s="50"/>
      <c r="VZ213" s="50"/>
      <c r="WA213" s="50"/>
      <c r="WB213" s="50"/>
      <c r="WC213" s="50"/>
      <c r="WD213" s="50"/>
      <c r="WE213" s="50"/>
      <c r="WF213" s="50"/>
      <c r="WG213" s="50"/>
      <c r="WH213" s="50"/>
      <c r="WI213" s="50"/>
      <c r="WJ213" s="50"/>
      <c r="WK213" s="50"/>
      <c r="WL213" s="50"/>
      <c r="WM213" s="50"/>
      <c r="WN213" s="50"/>
      <c r="WO213" s="50"/>
      <c r="WP213" s="50"/>
      <c r="WQ213" s="50"/>
      <c r="WR213" s="50"/>
      <c r="WS213" s="50"/>
      <c r="WT213" s="50"/>
      <c r="WU213" s="50"/>
      <c r="WV213" s="50"/>
      <c r="WW213" s="50"/>
      <c r="WX213" s="50"/>
      <c r="WY213" s="50"/>
      <c r="WZ213" s="50"/>
      <c r="XA213" s="50"/>
      <c r="XB213" s="50"/>
      <c r="XC213" s="50"/>
      <c r="XD213" s="50"/>
      <c r="XE213" s="50"/>
      <c r="XF213" s="50"/>
      <c r="XG213" s="50"/>
      <c r="XH213" s="50"/>
      <c r="XI213" s="50"/>
      <c r="XJ213" s="50"/>
      <c r="XK213" s="50"/>
      <c r="XL213" s="50"/>
      <c r="XM213" s="50"/>
      <c r="XN213" s="50"/>
      <c r="XO213" s="50"/>
      <c r="XP213" s="50"/>
      <c r="XQ213" s="50"/>
      <c r="XR213" s="50"/>
      <c r="XS213" s="50"/>
      <c r="XT213" s="50"/>
      <c r="XU213" s="50"/>
      <c r="XV213" s="50"/>
      <c r="XW213" s="50"/>
      <c r="XX213" s="50"/>
      <c r="XY213" s="50"/>
      <c r="XZ213" s="50"/>
      <c r="YA213" s="50"/>
      <c r="YB213" s="50"/>
      <c r="YC213" s="50"/>
      <c r="YD213" s="50"/>
      <c r="YE213" s="50"/>
      <c r="YF213" s="50"/>
      <c r="YG213" s="50"/>
      <c r="YH213" s="50"/>
      <c r="YI213" s="50"/>
      <c r="YJ213" s="50"/>
      <c r="YK213" s="50"/>
      <c r="YL213" s="50"/>
      <c r="YM213" s="50"/>
      <c r="YN213" s="50"/>
      <c r="YO213" s="50"/>
      <c r="YP213" s="50"/>
      <c r="YQ213" s="50"/>
      <c r="YR213" s="50"/>
      <c r="YS213" s="50"/>
      <c r="YT213" s="50"/>
      <c r="YU213" s="50"/>
      <c r="YV213" s="50"/>
      <c r="YW213" s="50"/>
      <c r="YX213" s="50"/>
      <c r="YY213" s="50"/>
      <c r="YZ213" s="50"/>
      <c r="ZA213" s="50"/>
      <c r="ZB213" s="50"/>
      <c r="ZC213" s="50"/>
      <c r="ZD213" s="50"/>
      <c r="ZE213" s="50"/>
      <c r="ZF213" s="50"/>
      <c r="ZG213" s="50"/>
      <c r="ZH213" s="50"/>
      <c r="ZI213" s="50"/>
      <c r="ZJ213" s="50"/>
      <c r="ZK213" s="50"/>
      <c r="ZL213" s="50"/>
      <c r="ZM213" s="50"/>
      <c r="ZN213" s="50"/>
      <c r="ZO213" s="50"/>
      <c r="ZP213" s="50"/>
      <c r="ZQ213" s="50"/>
      <c r="ZR213" s="50"/>
      <c r="ZS213" s="50"/>
      <c r="ZT213" s="50"/>
      <c r="ZU213" s="50"/>
      <c r="ZV213" s="50"/>
      <c r="ZW213" s="50"/>
      <c r="ZX213" s="50"/>
      <c r="ZY213" s="620"/>
      <c r="ZZ213" s="36"/>
      <c r="AAA213" s="590"/>
      <c r="AAB213"/>
      <c r="AAC213"/>
      <c r="AAD213" s="113"/>
      <c r="AAE213" s="553">
        <f>IF(AND(S.InvolveFee=TRUE,S.DASApprovalRequired=FALSE),1,0)</f>
        <v>0</v>
      </c>
      <c r="AAF213" s="585" t="s">
        <v>199</v>
      </c>
      <c r="AAG213" s="78">
        <f>S.BANNER.FeeStart</f>
        <v>41414</v>
      </c>
      <c r="AAH213" s="78">
        <f>S.SubmitNoticeToSOS</f>
        <v>41470</v>
      </c>
      <c r="AAI213" s="77"/>
      <c r="AAJ213" s="77"/>
      <c r="AAK213" s="77"/>
      <c r="AAL213" s="89" t="str">
        <f>IF(S.DASApprovalRequired=TRUE,"See DAS approval sequence below",IF(S.InvolveFee=TRUE,"DAS notice required","No DAS involvement"))</f>
        <v>See DAS approval sequence below</v>
      </c>
      <c r="AAM213" s="113"/>
      <c r="AAU213" s="44"/>
      <c r="AAV213"/>
      <c r="AAW213"/>
      <c r="AAX213"/>
      <c r="AAY213"/>
      <c r="AAZ213"/>
      <c r="ABA213"/>
      <c r="ABB213"/>
      <c r="ABC213"/>
      <c r="ABD213"/>
    </row>
    <row r="214" spans="1:732" s="23" customFormat="1" ht="15" outlineLevel="1">
      <c r="A214" s="560"/>
      <c r="B214" s="256" t="s">
        <v>148</v>
      </c>
      <c r="C214" s="174"/>
      <c r="D214" s="189"/>
      <c r="E214" s="161"/>
      <c r="F214" s="161"/>
      <c r="G214" s="175"/>
      <c r="H214" s="175"/>
      <c r="I214" s="629"/>
      <c r="J214" s="594"/>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20"/>
      <c r="ZZ214" s="36"/>
      <c r="AAA214" s="590"/>
      <c r="AAB214"/>
      <c r="AAC214"/>
      <c r="AAD214" s="113"/>
      <c r="AAE214" s="553">
        <f>IF(AND(S.InvolveFee=TRUE,S.DASApprovalRequired=FALSE),1,0)</f>
        <v>0</v>
      </c>
      <c r="AAF214" s="585" t="s">
        <v>199</v>
      </c>
      <c r="AAG214" s="63"/>
      <c r="AAH214" s="63"/>
      <c r="AAI214" s="77"/>
      <c r="AAJ214" s="77"/>
      <c r="AAK214" s="77"/>
      <c r="AAL214" s="89" t="str">
        <f>"a. "&amp;S.CodeName&amp;"FEE.INSERT"</f>
        <v>a. FEE.INSERT</v>
      </c>
      <c r="AAM214" s="113"/>
      <c r="AAU214" s="44"/>
      <c r="AAV214"/>
      <c r="AAW214"/>
      <c r="AAX214"/>
      <c r="AAY214"/>
      <c r="AAZ214"/>
      <c r="ABA214"/>
      <c r="ABB214"/>
      <c r="ABC214"/>
      <c r="ABD214"/>
    </row>
    <row r="215" spans="1:732" ht="15" outlineLevel="1">
      <c r="A215" s="560"/>
      <c r="B215" s="257" t="str">
        <f>AAL214</f>
        <v>a. FEE.INSERT</v>
      </c>
      <c r="C215" s="169"/>
      <c r="D215" s="398"/>
      <c r="E215" s="177"/>
      <c r="F215" s="177"/>
      <c r="G215" s="162"/>
      <c r="H215" s="162"/>
      <c r="I215" s="629"/>
      <c r="J215" s="594"/>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20"/>
      <c r="ZZ215" s="36"/>
      <c r="AAA215" s="590"/>
      <c r="AAD215" s="113"/>
      <c r="AAE215" s="553">
        <f>IF(AND(S.InvolveFee=TRUE,S.DASApprovalRequired=FALSE),1,0)</f>
        <v>0</v>
      </c>
      <c r="AAF215" s="585" t="s">
        <v>199</v>
      </c>
      <c r="AAG215" s="76"/>
      <c r="AAH215" s="76"/>
      <c r="AAI215" s="77"/>
      <c r="AAJ215" s="77"/>
      <c r="AAK215" s="77"/>
      <c r="AAL215" s="89" t="str">
        <f>"b. "&amp;S.CodeName&amp;"FEE.SUPPORT.DOCS"</f>
        <v>b. FEE.SUPPORT.DOCS</v>
      </c>
      <c r="AAM215" s="113"/>
      <c r="AAN215"/>
      <c r="AAT215" s="23"/>
      <c r="AAU215" s="44"/>
    </row>
    <row r="216" spans="1:732" ht="15" outlineLevel="1">
      <c r="A216" s="560"/>
      <c r="B216" s="257" t="str">
        <f>AAL215</f>
        <v>b. FEE.SUPPORT.DOCS</v>
      </c>
      <c r="C216" s="169"/>
      <c r="D216" s="398"/>
      <c r="E216" s="177"/>
      <c r="F216" s="177"/>
      <c r="G216" s="162"/>
      <c r="H216" s="162"/>
      <c r="I216" s="629"/>
      <c r="J216" s="594"/>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20"/>
      <c r="ZZ216" s="36"/>
      <c r="AAA216" s="590"/>
      <c r="AAD216" s="113"/>
      <c r="AAE216" s="553">
        <f>IF(AND(S.InvolveFee=TRUE,S.DASApprovalRequired=FALSE),1,0)</f>
        <v>0</v>
      </c>
      <c r="AAF216" s="585" t="s">
        <v>199</v>
      </c>
      <c r="AAG216" s="76"/>
      <c r="AAH216" s="76"/>
      <c r="AAI216" s="76"/>
      <c r="AAJ216" s="57"/>
      <c r="AAK216" s="57"/>
      <c r="AAL216" s="80"/>
      <c r="AAM216" s="113"/>
      <c r="AAN216"/>
      <c r="AAT216" s="23"/>
      <c r="AAU216" s="44"/>
    </row>
    <row r="217" spans="1:732" ht="15" outlineLevel="1">
      <c r="A217" s="560"/>
      <c r="B217" s="258" t="s">
        <v>208</v>
      </c>
      <c r="C217" s="174"/>
      <c r="D217" s="501"/>
      <c r="E217" s="192"/>
      <c r="F217" s="192"/>
      <c r="G217" s="178"/>
      <c r="H217" s="178"/>
      <c r="I217" s="629"/>
      <c r="J217" s="594"/>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20"/>
      <c r="ZZ217" s="36"/>
      <c r="AAA217" s="590"/>
      <c r="AAD217" s="113"/>
      <c r="AAE217" s="553">
        <f>IF(AND(S.InvolveFee=TRUE,S.DASApprovalRequired=FALSE),1,0)</f>
        <v>0</v>
      </c>
      <c r="AAF217" s="585" t="s">
        <v>199</v>
      </c>
      <c r="AAG217" s="76"/>
      <c r="AAH217" s="76"/>
      <c r="AAI217" s="76"/>
      <c r="AAJ217" s="57"/>
      <c r="AAK217" s="57"/>
      <c r="AAL217" s="80"/>
      <c r="AAM217" s="113"/>
      <c r="AAN217"/>
      <c r="AAT217" s="23"/>
      <c r="AAU217" s="44"/>
      <c r="AAV217" s="23"/>
      <c r="AAW217" s="23"/>
      <c r="AAX217" s="23"/>
      <c r="AAY217" s="23"/>
      <c r="AAZ217" s="23"/>
      <c r="ABA217" s="23"/>
      <c r="ABB217" s="23"/>
      <c r="ABC217" s="23"/>
      <c r="ABD217" s="23"/>
    </row>
    <row r="218" spans="1:732" ht="18" customHeight="1" outlineLevel="1">
      <c r="A218" s="560"/>
      <c r="B218" s="534" t="str">
        <f>AAL218</f>
        <v>DAS Fee approval sequence</v>
      </c>
      <c r="C218" s="533"/>
      <c r="D218" s="500" t="s">
        <v>167</v>
      </c>
      <c r="E218" s="493">
        <f t="shared" ref="E218:E224" si="893">NETWORKDAYS(G218,H218,S.DDL_DEQClosed)</f>
        <v>18</v>
      </c>
      <c r="F218" s="373">
        <f ca="1">NETWORKDAYS(TODAY(),H218)</f>
        <v>43</v>
      </c>
      <c r="G218" s="370">
        <f>AAG218</f>
        <v>41414</v>
      </c>
      <c r="H218" s="370">
        <f>AAH218</f>
        <v>41439</v>
      </c>
      <c r="I218" s="629"/>
      <c r="J218" s="594"/>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50"/>
      <c r="ZZ218" s="50"/>
      <c r="AAA218" s="590"/>
      <c r="AAD218" s="113"/>
      <c r="AAE218" s="553">
        <f t="shared" ref="AAE218:AAE246" si="894">IF(AND(S.InvolveFee=TRUE,S.DASApprovalRequired=TRUE),1,0)</f>
        <v>1</v>
      </c>
      <c r="AAF218" s="113" t="s">
        <v>0</v>
      </c>
      <c r="AAG218" s="78">
        <f>S.BANNER.FeeStart</f>
        <v>41414</v>
      </c>
      <c r="AAH218" s="78">
        <f>WORKDAY(S.SubmitNoticeToSOS-29,-1,S.DDL_DEQClosed)</f>
        <v>41439</v>
      </c>
      <c r="AAI218" s="77"/>
      <c r="AAJ218" s="77"/>
      <c r="AAK218" s="77"/>
      <c r="AAL218" s="89" t="str">
        <f>IF(S.DASApprovalRequired=TRUE,"DAS Fee approval sequence",IF(S.InvolveFee=TRUE,"DAS notice required above","No DAS involvement"))</f>
        <v>DAS Fee approval sequence</v>
      </c>
      <c r="AAM218" s="113"/>
      <c r="AAN218"/>
      <c r="AAT218" s="23"/>
      <c r="AAU218" s="44"/>
    </row>
    <row r="219" spans="1:732" s="23" customFormat="1" ht="15" outlineLevel="1">
      <c r="A219" s="560"/>
      <c r="B219" s="256" t="s">
        <v>283</v>
      </c>
      <c r="C219" s="174"/>
      <c r="D219" s="282"/>
      <c r="E219" s="124"/>
      <c r="F219" s="125"/>
      <c r="G219" s="179"/>
      <c r="H219" s="179"/>
      <c r="I219" s="590"/>
      <c r="J219" s="594"/>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620"/>
      <c r="ZZ219" s="36"/>
      <c r="AAA219" s="590"/>
      <c r="AAB219"/>
      <c r="AAC219"/>
      <c r="AAD219" s="113"/>
      <c r="AAE219" s="553">
        <f t="shared" si="894"/>
        <v>1</v>
      </c>
      <c r="AAF219" s="585" t="s">
        <v>199</v>
      </c>
      <c r="AAG219" s="76"/>
      <c r="AAH219" s="63"/>
      <c r="AAI219" s="77"/>
      <c r="AAJ219" s="77"/>
      <c r="AAK219" s="77"/>
      <c r="AAL219" s="89" t="str">
        <f>"a. "&amp;S.CodeName&amp;"FEE.ANALYSIS"</f>
        <v>a. FEE.ANALYSIS</v>
      </c>
      <c r="AAM219" s="113"/>
      <c r="AAU219" s="44"/>
      <c r="AAV219"/>
      <c r="AAW219"/>
      <c r="AAX219"/>
      <c r="AAY219"/>
      <c r="AAZ219"/>
      <c r="ABA219"/>
      <c r="ABB219"/>
      <c r="ABC219"/>
      <c r="ABD219"/>
    </row>
    <row r="220" spans="1:732" ht="15" customHeight="1" outlineLevel="1">
      <c r="A220" s="560"/>
      <c r="B220" s="257" t="str">
        <f>AAL219</f>
        <v>a. FEE.ANALYSIS</v>
      </c>
      <c r="C220" s="676" t="s">
        <v>350</v>
      </c>
      <c r="D220" s="502"/>
      <c r="E220" s="177"/>
      <c r="F220" s="177"/>
      <c r="G220" s="162"/>
      <c r="H220" s="162"/>
      <c r="I220" s="590"/>
      <c r="J220" s="594"/>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20"/>
      <c r="ZZ220" s="36"/>
      <c r="AAA220" s="590"/>
      <c r="AAD220" s="113"/>
      <c r="AAE220" s="553">
        <f t="shared" si="894"/>
        <v>1</v>
      </c>
      <c r="AAF220" s="585" t="s">
        <v>199</v>
      </c>
      <c r="AAG220" s="76"/>
      <c r="AAH220" s="76"/>
      <c r="AAI220" s="77"/>
      <c r="AAJ220" s="77"/>
      <c r="AAK220" s="77"/>
      <c r="AAL220" s="89" t="str">
        <f>"b. "&amp;S.CodeName&amp;"FEE.SUPPORT.DOCS"</f>
        <v>b. FEE.SUPPORT.DOCS</v>
      </c>
      <c r="AAM220" s="113"/>
      <c r="AAN220"/>
      <c r="AAT220" s="23"/>
      <c r="AAU220" s="44"/>
    </row>
    <row r="221" spans="1:732" ht="15" customHeight="1" outlineLevel="1">
      <c r="A221" s="560"/>
      <c r="B221" s="257" t="str">
        <f>AAL220</f>
        <v>b. FEE.SUPPORT.DOCS</v>
      </c>
      <c r="D221" s="502"/>
      <c r="E221" s="177"/>
      <c r="F221" s="161"/>
      <c r="G221" s="162"/>
      <c r="H221" s="162"/>
      <c r="I221" s="590"/>
      <c r="J221" s="594"/>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20"/>
      <c r="ZZ221" s="36"/>
      <c r="AAA221" s="590"/>
      <c r="AAD221" s="113"/>
      <c r="AAE221" s="553">
        <f t="shared" si="894"/>
        <v>1</v>
      </c>
      <c r="AAF221" s="585" t="s">
        <v>199</v>
      </c>
      <c r="AAG221" s="76"/>
      <c r="AAH221" s="76"/>
      <c r="AAI221" s="77"/>
      <c r="AAJ221" s="77"/>
      <c r="AAK221" s="77"/>
      <c r="AAL221" s="89" t="str">
        <f>"a. "&amp;S.CodeName&amp;"FEE.APPROVAL"</f>
        <v>a. FEE.APPROVAL</v>
      </c>
      <c r="AAM221" s="113"/>
      <c r="AAN221"/>
      <c r="AAT221" s="23"/>
      <c r="AAU221" s="44"/>
    </row>
    <row r="222" spans="1:732" ht="15" customHeight="1" outlineLevel="1">
      <c r="A222" s="560"/>
      <c r="B222" s="257" t="str">
        <f>AAL221</f>
        <v>a. FEE.APPROVAL</v>
      </c>
      <c r="C222" s="683" t="s">
        <v>350</v>
      </c>
      <c r="D222" s="502" t="s">
        <v>0</v>
      </c>
      <c r="E222" s="177"/>
      <c r="F222" s="177"/>
      <c r="G222" s="162"/>
      <c r="H222" s="162"/>
      <c r="I222" s="590"/>
      <c r="J222" s="594"/>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20"/>
      <c r="ZZ222" s="36"/>
      <c r="AAA222" s="590"/>
      <c r="AAD222" s="113"/>
      <c r="AAE222" s="553">
        <f t="shared" si="894"/>
        <v>1</v>
      </c>
      <c r="AAF222" s="585" t="s">
        <v>199</v>
      </c>
      <c r="AAG222" s="76"/>
      <c r="AAH222" s="76"/>
      <c r="AAI222" s="77"/>
      <c r="AAJ222" s="77"/>
      <c r="AAK222" s="77"/>
      <c r="AAL222" s="89" t="str">
        <f>"b. "&amp;S.CodeName&amp;"FEE.DETAIL"</f>
        <v>b. FEE.DETAIL</v>
      </c>
      <c r="AAM222" s="113"/>
      <c r="AAN222"/>
      <c r="AAT222" s="23"/>
      <c r="AAU222" s="44"/>
    </row>
    <row r="223" spans="1:732" ht="15" customHeight="1" outlineLevel="1">
      <c r="A223" s="560"/>
      <c r="B223" s="257" t="str">
        <f>AAL222</f>
        <v>b. FEE.DETAIL</v>
      </c>
      <c r="C223" s="677" t="s">
        <v>350</v>
      </c>
      <c r="D223" s="502"/>
      <c r="E223" s="401"/>
      <c r="F223" s="401"/>
      <c r="G223" s="357"/>
      <c r="H223" s="357"/>
      <c r="I223" s="590"/>
      <c r="J223" s="594"/>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20"/>
      <c r="ZZ223" s="36"/>
      <c r="AAA223" s="590"/>
      <c r="AAD223" s="113"/>
      <c r="AAE223" s="553">
        <f t="shared" si="894"/>
        <v>1</v>
      </c>
      <c r="AAF223" s="585" t="s">
        <v>199</v>
      </c>
      <c r="AAG223" s="76"/>
      <c r="AAH223" s="76"/>
      <c r="AAI223" s="77"/>
      <c r="AAJ223" s="77"/>
      <c r="AAK223" s="77"/>
      <c r="AAL223" s="80"/>
      <c r="AAM223" s="113"/>
      <c r="AAN223"/>
      <c r="AAT223" s="23"/>
      <c r="AAU223" s="44"/>
    </row>
    <row r="224" spans="1:732" ht="15" outlineLevel="1">
      <c r="A224" s="560"/>
      <c r="B224" s="259" t="s">
        <v>284</v>
      </c>
      <c r="C224" s="240"/>
      <c r="D224" s="503" t="s">
        <v>167</v>
      </c>
      <c r="E224" s="493">
        <f t="shared" si="893"/>
        <v>1</v>
      </c>
      <c r="F224" s="373">
        <f t="shared" ref="F224:F228" ca="1" si="895">NETWORKDAYS(TODAY(),H224)</f>
        <v>43</v>
      </c>
      <c r="G224" s="370">
        <f>AAG224</f>
        <v>41439</v>
      </c>
      <c r="H224" s="370">
        <f t="shared" ref="H224:H228" si="896">AAH224</f>
        <v>41439</v>
      </c>
      <c r="I224" s="629"/>
      <c r="J224" s="594"/>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50"/>
      <c r="ZZ224" s="50"/>
      <c r="AAA224" s="590"/>
      <c r="AAD224" s="113"/>
      <c r="AAE224" s="553">
        <f t="shared" si="894"/>
        <v>1</v>
      </c>
      <c r="AAF224" s="113"/>
      <c r="AAG224" s="78">
        <f>H218</f>
        <v>41439</v>
      </c>
      <c r="AAH224" s="78">
        <f>G224</f>
        <v>41439</v>
      </c>
      <c r="AAI224" s="77"/>
      <c r="AAJ224" s="77"/>
      <c r="AAK224" s="77"/>
      <c r="AAL224" s="80"/>
      <c r="AAM224" s="113"/>
      <c r="AAN224"/>
      <c r="AAT224" s="23"/>
      <c r="AAU224" s="44"/>
    </row>
    <row r="225" spans="1:732" ht="15" outlineLevel="1">
      <c r="A225" s="560"/>
      <c r="B225" s="260" t="s">
        <v>119</v>
      </c>
      <c r="C225" s="240"/>
      <c r="D225" s="280" t="s">
        <v>182</v>
      </c>
      <c r="E225" s="493">
        <f>NETWORKDAYS(G225,H225,S.DDL_DEQClosed)</f>
        <v>1</v>
      </c>
      <c r="F225" s="373">
        <f t="shared" ca="1" si="895"/>
        <v>43</v>
      </c>
      <c r="G225" s="370">
        <f t="shared" ref="G225:G228" si="897">AAG225</f>
        <v>41439</v>
      </c>
      <c r="H225" s="370">
        <f t="shared" si="896"/>
        <v>41439</v>
      </c>
      <c r="I225" s="629"/>
      <c r="J225" s="594"/>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90"/>
      <c r="AAD225" s="113"/>
      <c r="AAE225" s="553">
        <f t="shared" si="894"/>
        <v>1</v>
      </c>
      <c r="AAF225" s="113"/>
      <c r="AAG225" s="78">
        <f>H224</f>
        <v>41439</v>
      </c>
      <c r="AAH225" s="78">
        <f t="shared" ref="AAH225:AAH228" si="898">G225</f>
        <v>41439</v>
      </c>
      <c r="AAI225" s="77"/>
      <c r="AAJ225" s="77"/>
      <c r="AAK225" s="77"/>
      <c r="AAL225" s="80"/>
      <c r="AAM225" s="113"/>
      <c r="AAN225"/>
      <c r="AAT225" s="23"/>
      <c r="AAU225" s="44"/>
    </row>
    <row r="226" spans="1:732" ht="15" outlineLevel="1">
      <c r="A226" s="560"/>
      <c r="B226" s="262" t="s">
        <v>120</v>
      </c>
      <c r="C226" s="240"/>
      <c r="D226" s="280" t="s">
        <v>182</v>
      </c>
      <c r="E226" s="493">
        <f>NETWORKDAYS(G226,H226,S.DDL_DEQClosed)</f>
        <v>1</v>
      </c>
      <c r="F226" s="373">
        <f t="shared" ca="1" si="895"/>
        <v>43</v>
      </c>
      <c r="G226" s="370">
        <f t="shared" si="897"/>
        <v>41439</v>
      </c>
      <c r="H226" s="370">
        <f t="shared" si="896"/>
        <v>41439</v>
      </c>
      <c r="I226" s="629"/>
      <c r="J226" s="594"/>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90"/>
      <c r="AAD226" s="113"/>
      <c r="AAE226" s="553">
        <f t="shared" si="894"/>
        <v>1</v>
      </c>
      <c r="AAF226" s="113"/>
      <c r="AAG226" s="78">
        <f t="shared" ref="AAG226:AAG228" si="899">H225</f>
        <v>41439</v>
      </c>
      <c r="AAH226" s="78">
        <f t="shared" si="898"/>
        <v>41439</v>
      </c>
      <c r="AAI226" s="77"/>
      <c r="AAJ226" s="77"/>
      <c r="AAK226" s="77"/>
      <c r="AAL226" s="80"/>
      <c r="AAM226" s="113"/>
      <c r="AAN226"/>
      <c r="AAT226" s="23"/>
      <c r="AAU226" s="44"/>
    </row>
    <row r="227" spans="1:732" ht="15" outlineLevel="1">
      <c r="A227" s="560"/>
      <c r="B227" s="263" t="s">
        <v>121</v>
      </c>
      <c r="C227" s="240"/>
      <c r="D227" s="280" t="s">
        <v>182</v>
      </c>
      <c r="E227" s="493">
        <f>NETWORKDAYS(G227,H227,S.DDL_DEQClosed)</f>
        <v>1</v>
      </c>
      <c r="F227" s="373">
        <f t="shared" ca="1" si="895"/>
        <v>43</v>
      </c>
      <c r="G227" s="370">
        <f t="shared" si="897"/>
        <v>41439</v>
      </c>
      <c r="H227" s="370">
        <f t="shared" si="896"/>
        <v>41439</v>
      </c>
      <c r="I227" s="629"/>
      <c r="J227" s="594"/>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90"/>
      <c r="AAD227" s="113"/>
      <c r="AAE227" s="553">
        <f t="shared" si="894"/>
        <v>1</v>
      </c>
      <c r="AAF227" s="113"/>
      <c r="AAG227" s="78">
        <f t="shared" si="899"/>
        <v>41439</v>
      </c>
      <c r="AAH227" s="78">
        <f t="shared" si="898"/>
        <v>41439</v>
      </c>
      <c r="AAI227" s="77"/>
      <c r="AAJ227" s="77"/>
      <c r="AAK227" s="77"/>
      <c r="AAL227" s="80"/>
      <c r="AAM227" s="113"/>
      <c r="AAN227"/>
      <c r="AAT227" s="23"/>
      <c r="AAU227" s="44"/>
    </row>
    <row r="228" spans="1:732" ht="15" outlineLevel="1">
      <c r="A228" s="560"/>
      <c r="B228" s="264" t="s">
        <v>122</v>
      </c>
      <c r="C228" s="240"/>
      <c r="D228" s="280" t="s">
        <v>182</v>
      </c>
      <c r="E228" s="493">
        <f>NETWORKDAYS(G228,H228,S.DDL_DEQClosed)</f>
        <v>1</v>
      </c>
      <c r="F228" s="373">
        <f t="shared" ca="1" si="895"/>
        <v>43</v>
      </c>
      <c r="G228" s="370">
        <f t="shared" si="897"/>
        <v>41439</v>
      </c>
      <c r="H228" s="370">
        <f t="shared" si="896"/>
        <v>41439</v>
      </c>
      <c r="I228" s="629"/>
      <c r="J228" s="594"/>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90"/>
      <c r="AAD228" s="113"/>
      <c r="AAE228" s="553">
        <f t="shared" si="894"/>
        <v>1</v>
      </c>
      <c r="AAF228" s="113"/>
      <c r="AAG228" s="78">
        <f t="shared" si="899"/>
        <v>41439</v>
      </c>
      <c r="AAH228" s="78">
        <f t="shared" si="898"/>
        <v>41439</v>
      </c>
      <c r="AAI228" s="77"/>
      <c r="AAJ228" s="77"/>
      <c r="AAK228" s="77"/>
      <c r="AAL228" s="80"/>
      <c r="AAM228" s="113"/>
      <c r="AAN228"/>
      <c r="AAT228" s="23"/>
      <c r="AAU228" s="44"/>
    </row>
    <row r="229" spans="1:732" ht="82.5" customHeight="1" outlineLevel="1">
      <c r="A229" s="560"/>
      <c r="B229" s="747" t="s">
        <v>381</v>
      </c>
      <c r="C229" s="747"/>
      <c r="D229" s="747"/>
      <c r="E229" s="747"/>
      <c r="F229" s="747"/>
      <c r="G229" s="747"/>
      <c r="H229" s="747"/>
      <c r="I229" s="590"/>
      <c r="J229" s="594"/>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620"/>
      <c r="ZZ229" s="36"/>
      <c r="AAA229" s="590"/>
      <c r="AAD229" s="113"/>
      <c r="AAE229" s="553">
        <f t="shared" si="894"/>
        <v>1</v>
      </c>
      <c r="AAF229" s="585" t="s">
        <v>199</v>
      </c>
      <c r="AAG229" s="63"/>
      <c r="AAH229" s="63"/>
      <c r="AAI229" s="77"/>
      <c r="AAJ229" s="77"/>
      <c r="AAK229" s="77"/>
      <c r="AAL229" s="80"/>
      <c r="AAM229" s="113"/>
      <c r="AAN229"/>
      <c r="AAT229" s="23"/>
      <c r="AAU229" s="44"/>
    </row>
    <row r="230" spans="1:732" ht="15" outlineLevel="1">
      <c r="A230" s="560"/>
      <c r="B230" s="265" t="s">
        <v>23</v>
      </c>
      <c r="C230" s="265"/>
      <c r="D230" s="162"/>
      <c r="E230" s="161"/>
      <c r="F230" s="161"/>
      <c r="G230" s="162"/>
      <c r="H230" s="162"/>
      <c r="I230" s="590"/>
      <c r="J230" s="594"/>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20"/>
      <c r="ZZ230" s="36"/>
      <c r="AAA230" s="590"/>
      <c r="AAD230" s="113"/>
      <c r="AAE230" s="553">
        <f t="shared" si="894"/>
        <v>1</v>
      </c>
      <c r="AAF230" s="585" t="s">
        <v>199</v>
      </c>
      <c r="AAG230" s="63"/>
      <c r="AAH230" s="63"/>
      <c r="AAI230" s="77"/>
      <c r="AAJ230" s="77"/>
      <c r="AAK230" s="77"/>
      <c r="AAL230" s="80"/>
      <c r="AAM230" s="113"/>
      <c r="AAN230"/>
      <c r="AAT230" s="23"/>
      <c r="AAU230" s="44"/>
    </row>
    <row r="231" spans="1:732" ht="15.75" outlineLevel="1">
      <c r="A231" s="560"/>
      <c r="B231" s="773" t="s">
        <v>118</v>
      </c>
      <c r="C231" s="773"/>
      <c r="D231" s="191" t="s">
        <v>0</v>
      </c>
      <c r="E231" s="497" t="s">
        <v>0</v>
      </c>
      <c r="F231" s="367" t="s">
        <v>0</v>
      </c>
      <c r="G231" s="496"/>
      <c r="H231" s="496"/>
      <c r="I231" s="590"/>
      <c r="J231" s="594"/>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20"/>
      <c r="ZZ231" s="36"/>
      <c r="AAA231" s="590"/>
      <c r="AAD231" s="113"/>
      <c r="AAE231" s="553">
        <f t="shared" si="894"/>
        <v>1</v>
      </c>
      <c r="AAF231" s="585" t="s">
        <v>199</v>
      </c>
      <c r="AAG231" s="76"/>
      <c r="AAH231" s="76"/>
      <c r="AAI231" s="77"/>
      <c r="AAJ231" s="77"/>
      <c r="AAK231" s="77"/>
      <c r="AAL231" s="80"/>
      <c r="AAM231" s="113"/>
      <c r="AAN231"/>
      <c r="AAT231" s="23"/>
      <c r="AAU231" s="44"/>
    </row>
    <row r="232" spans="1:732" ht="15" outlineLevel="1">
      <c r="A232" s="560"/>
      <c r="B232" s="266" t="s">
        <v>146</v>
      </c>
      <c r="C232" s="720"/>
      <c r="D232" s="279" t="s">
        <v>183</v>
      </c>
      <c r="E232" s="493">
        <f>NETWORKDAYS(G232,H232,S.DDL_DEQClosed)</f>
        <v>1</v>
      </c>
      <c r="F232" s="373">
        <f ca="1">NETWORKDAYS(TODAY(),H232)</f>
        <v>43</v>
      </c>
      <c r="G232" s="370">
        <f t="shared" ref="G232:H233" si="900">AAG232</f>
        <v>41439</v>
      </c>
      <c r="H232" s="371">
        <f>AAH232</f>
        <v>41439</v>
      </c>
      <c r="I232" s="629"/>
      <c r="J232" s="594"/>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50"/>
      <c r="ZZ232" s="50"/>
      <c r="AAA232" s="590"/>
      <c r="AAD232" s="113"/>
      <c r="AAE232" s="553">
        <f t="shared" si="894"/>
        <v>1</v>
      </c>
      <c r="AAF232" s="113"/>
      <c r="AAG232" s="78">
        <f>H228</f>
        <v>41439</v>
      </c>
      <c r="AAH232" s="78">
        <f>G232</f>
        <v>41439</v>
      </c>
      <c r="AAI232" s="77"/>
      <c r="AAJ232" s="77"/>
      <c r="AAK232" s="77"/>
      <c r="AAL232" s="80"/>
      <c r="AAM232" s="113"/>
      <c r="AAN232"/>
      <c r="AAT232" s="23"/>
      <c r="AAU232" s="44"/>
    </row>
    <row r="233" spans="1:732" ht="15" outlineLevel="1">
      <c r="A233" s="560"/>
      <c r="B233" s="266" t="s">
        <v>54</v>
      </c>
      <c r="C233" s="720"/>
      <c r="D233" s="279" t="s">
        <v>184</v>
      </c>
      <c r="E233" s="493">
        <f>NETWORKDAYS(G233,H233,S.DDL_DEQClosed)</f>
        <v>1</v>
      </c>
      <c r="F233" s="373">
        <f ca="1">NETWORKDAYS(TODAY(),H233)</f>
        <v>43</v>
      </c>
      <c r="G233" s="370">
        <f t="shared" si="900"/>
        <v>41439</v>
      </c>
      <c r="H233" s="370">
        <f t="shared" si="900"/>
        <v>41439</v>
      </c>
      <c r="I233" s="629"/>
      <c r="J233" s="594"/>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90"/>
      <c r="AAD233" s="113"/>
      <c r="AAE233" s="553">
        <f t="shared" si="894"/>
        <v>1</v>
      </c>
      <c r="AAF233" s="113"/>
      <c r="AAG233" s="78">
        <f>H232</f>
        <v>41439</v>
      </c>
      <c r="AAH233" s="78">
        <f>G233</f>
        <v>41439</v>
      </c>
      <c r="AAI233" s="77"/>
      <c r="AAJ233" s="77"/>
      <c r="AAK233" s="77"/>
      <c r="AAL233" s="80"/>
      <c r="AAM233" s="113"/>
      <c r="AAN233"/>
      <c r="AAT233" s="23"/>
      <c r="AAU233" s="44"/>
    </row>
    <row r="234" spans="1:732" ht="15" outlineLevel="1">
      <c r="A234" s="560"/>
      <c r="B234" s="774" t="s">
        <v>110</v>
      </c>
      <c r="C234" s="774"/>
      <c r="D234" s="178" t="s">
        <v>0</v>
      </c>
      <c r="E234" s="497" t="s">
        <v>0</v>
      </c>
      <c r="F234" s="367" t="s">
        <v>0</v>
      </c>
      <c r="G234" s="496"/>
      <c r="H234" s="496"/>
      <c r="I234" s="590"/>
      <c r="J234" s="594"/>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620"/>
      <c r="ZZ234" s="36"/>
      <c r="AAA234" s="590"/>
      <c r="AAD234" s="113"/>
      <c r="AAE234" s="553">
        <f t="shared" si="894"/>
        <v>1</v>
      </c>
      <c r="AAF234" s="585" t="s">
        <v>199</v>
      </c>
      <c r="AAG234" s="76"/>
      <c r="AAH234" s="76"/>
      <c r="AAI234" s="76"/>
      <c r="AAJ234" s="57"/>
      <c r="AAK234" s="57"/>
      <c r="AAL234" s="80"/>
      <c r="AAM234" s="113"/>
      <c r="AAN234"/>
      <c r="AAT234" s="23"/>
      <c r="AAU234" s="44"/>
      <c r="AAV234" s="43"/>
      <c r="AAW234" s="43"/>
      <c r="AAX234" s="43"/>
      <c r="AAY234" s="43"/>
      <c r="AAZ234" s="43"/>
      <c r="ABA234" s="43"/>
      <c r="ABB234" s="43"/>
      <c r="ABC234" s="43"/>
      <c r="ABD234" s="43"/>
    </row>
    <row r="235" spans="1:732" ht="15" outlineLevel="1">
      <c r="A235" s="560"/>
      <c r="B235" s="772" t="s">
        <v>312</v>
      </c>
      <c r="C235" s="772"/>
      <c r="D235" s="178"/>
      <c r="E235" s="401"/>
      <c r="F235" s="401"/>
      <c r="G235" s="357"/>
      <c r="H235" s="357"/>
      <c r="I235" s="590"/>
      <c r="J235" s="594"/>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20"/>
      <c r="ZZ235" s="36"/>
      <c r="AAA235" s="590"/>
      <c r="AAD235" s="113"/>
      <c r="AAE235" s="553">
        <f t="shared" si="894"/>
        <v>1</v>
      </c>
      <c r="AAF235" s="585" t="s">
        <v>199</v>
      </c>
      <c r="AAG235" s="76"/>
      <c r="AAH235" s="76"/>
      <c r="AAI235" s="76"/>
      <c r="AAJ235" s="57"/>
      <c r="AAK235" s="57"/>
      <c r="AAL235" s="80"/>
      <c r="AAM235" s="113"/>
      <c r="AAN235"/>
      <c r="AAO235" s="43"/>
      <c r="AAP235" s="43"/>
      <c r="AAQ235" s="43"/>
      <c r="AAR235" s="43"/>
      <c r="AAS235" s="43"/>
      <c r="AAT235" s="43"/>
      <c r="AAU235" s="44"/>
    </row>
    <row r="236" spans="1:732" s="43" customFormat="1" ht="15.75" customHeight="1" outlineLevel="1">
      <c r="A236" s="602"/>
      <c r="B236" s="267" t="str">
        <f>AAL236</f>
        <v>Send DAS.EMAILS.pdf</v>
      </c>
      <c r="C236" s="169"/>
      <c r="D236" s="279" t="s">
        <v>215</v>
      </c>
      <c r="E236" s="493">
        <f t="shared" ref="E236:E237" si="901">NETWORKDAYS(G236,H236,S.DDL_DEQClosed)</f>
        <v>1</v>
      </c>
      <c r="F236" s="373">
        <f ca="1">NETWORKDAYS(TODAY(),G236)</f>
        <v>44</v>
      </c>
      <c r="G236" s="658">
        <f>AAG236</f>
        <v>41442</v>
      </c>
      <c r="H236" s="371">
        <f>AAH236</f>
        <v>41442</v>
      </c>
      <c r="I236" s="629"/>
      <c r="J236" s="597"/>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c r="EK236" s="51"/>
      <c r="EL236" s="51"/>
      <c r="EM236" s="51"/>
      <c r="EN236" s="51"/>
      <c r="EO236" s="51"/>
      <c r="EP236" s="51"/>
      <c r="EQ236" s="51"/>
      <c r="ER236" s="51"/>
      <c r="ES236" s="51"/>
      <c r="ET236" s="51"/>
      <c r="EU236" s="51"/>
      <c r="EV236" s="51"/>
      <c r="EW236" s="51"/>
      <c r="EX236" s="51"/>
      <c r="EY236" s="51"/>
      <c r="EZ236" s="51"/>
      <c r="FA236" s="51"/>
      <c r="FB236" s="51"/>
      <c r="FC236" s="51"/>
      <c r="FD236" s="51"/>
      <c r="FE236" s="51"/>
      <c r="FF236" s="51"/>
      <c r="FG236" s="51"/>
      <c r="FH236" s="51"/>
      <c r="FI236" s="51"/>
      <c r="FJ236" s="51"/>
      <c r="FK236" s="51"/>
      <c r="FL236" s="51"/>
      <c r="FM236" s="51"/>
      <c r="FN236" s="51"/>
      <c r="FO236" s="51"/>
      <c r="FP236" s="51"/>
      <c r="FQ236" s="51"/>
      <c r="FR236" s="51"/>
      <c r="FS236" s="51"/>
      <c r="FT236" s="51"/>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1"/>
      <c r="GR236" s="51"/>
      <c r="GS236" s="51"/>
      <c r="GT236" s="51"/>
      <c r="GU236" s="51"/>
      <c r="GV236" s="51"/>
      <c r="GW236" s="51"/>
      <c r="GX236" s="51"/>
      <c r="GY236" s="51"/>
      <c r="GZ236" s="51"/>
      <c r="HA236" s="51"/>
      <c r="HB236" s="51"/>
      <c r="HC236" s="51"/>
      <c r="HD236" s="51"/>
      <c r="HE236" s="51"/>
      <c r="HF236" s="51"/>
      <c r="HG236" s="51"/>
      <c r="HH236" s="51"/>
      <c r="HI236" s="51"/>
      <c r="HJ236" s="51"/>
      <c r="HK236" s="51"/>
      <c r="HL236" s="51"/>
      <c r="HM236" s="51"/>
      <c r="HN236" s="51"/>
      <c r="HO236" s="51"/>
      <c r="HP236" s="51"/>
      <c r="HQ236" s="51"/>
      <c r="HR236" s="51"/>
      <c r="HS236" s="51"/>
      <c r="HT236" s="51"/>
      <c r="HU236" s="51"/>
      <c r="HV236" s="51"/>
      <c r="HW236" s="51"/>
      <c r="HX236" s="51"/>
      <c r="HY236" s="51"/>
      <c r="HZ236" s="51"/>
      <c r="IA236" s="51"/>
      <c r="IB236" s="51"/>
      <c r="IC236" s="51"/>
      <c r="ID236" s="51"/>
      <c r="IE236" s="51"/>
      <c r="IF236" s="51"/>
      <c r="IG236" s="51"/>
      <c r="IH236" s="51"/>
      <c r="II236" s="51"/>
      <c r="IJ236" s="51"/>
      <c r="IK236" s="51"/>
      <c r="IL236" s="51"/>
      <c r="IM236" s="51"/>
      <c r="IN236" s="51"/>
      <c r="IO236" s="51"/>
      <c r="IP236" s="51"/>
      <c r="IQ236" s="51"/>
      <c r="IR236" s="51"/>
      <c r="IS236" s="51"/>
      <c r="IT236" s="51"/>
      <c r="IU236" s="51"/>
      <c r="IV236" s="51"/>
      <c r="IW236" s="51"/>
      <c r="IX236" s="51"/>
      <c r="IY236" s="51"/>
      <c r="IZ236" s="51"/>
      <c r="JA236" s="51"/>
      <c r="JB236" s="51"/>
      <c r="JC236" s="51"/>
      <c r="JD236" s="51"/>
      <c r="JE236" s="51"/>
      <c r="JF236" s="51"/>
      <c r="JG236" s="51"/>
      <c r="JH236" s="51"/>
      <c r="JI236" s="51"/>
      <c r="JJ236" s="51"/>
      <c r="JK236" s="51"/>
      <c r="JL236" s="51"/>
      <c r="JM236" s="51"/>
      <c r="JN236" s="51"/>
      <c r="JO236" s="51"/>
      <c r="JP236" s="51"/>
      <c r="JQ236" s="51"/>
      <c r="JR236" s="51"/>
      <c r="JS236" s="51"/>
      <c r="JT236" s="51"/>
      <c r="JU236" s="51"/>
      <c r="JV236" s="51"/>
      <c r="JW236" s="51"/>
      <c r="JX236" s="51"/>
      <c r="JY236" s="51"/>
      <c r="JZ236" s="51"/>
      <c r="KA236" s="51"/>
      <c r="KB236" s="51"/>
      <c r="KC236" s="51"/>
      <c r="KD236" s="51"/>
      <c r="KE236" s="51"/>
      <c r="KF236" s="51"/>
      <c r="KG236" s="51"/>
      <c r="KH236" s="51"/>
      <c r="KI236" s="51"/>
      <c r="KJ236" s="51"/>
      <c r="KK236" s="51"/>
      <c r="KL236" s="51"/>
      <c r="KM236" s="51"/>
      <c r="KN236" s="51"/>
      <c r="KO236" s="51"/>
      <c r="KP236" s="51"/>
      <c r="KQ236" s="51"/>
      <c r="KR236" s="51"/>
      <c r="KS236" s="51"/>
      <c r="KT236" s="51"/>
      <c r="KU236" s="51"/>
      <c r="KV236" s="51"/>
      <c r="KW236" s="51"/>
      <c r="KX236" s="51"/>
      <c r="KY236" s="51"/>
      <c r="KZ236" s="51"/>
      <c r="LA236" s="51"/>
      <c r="LB236" s="51"/>
      <c r="LC236" s="51"/>
      <c r="LD236" s="51"/>
      <c r="LE236" s="51"/>
      <c r="LF236" s="51"/>
      <c r="LG236" s="51"/>
      <c r="LH236" s="51"/>
      <c r="LI236" s="51"/>
      <c r="LJ236" s="51"/>
      <c r="LK236" s="51"/>
      <c r="LL236" s="51"/>
      <c r="LM236" s="51"/>
      <c r="LN236" s="51"/>
      <c r="LO236" s="51"/>
      <c r="LP236" s="51"/>
      <c r="LQ236" s="51"/>
      <c r="LR236" s="51"/>
      <c r="LS236" s="51"/>
      <c r="LT236" s="51"/>
      <c r="LU236" s="51"/>
      <c r="LV236" s="51"/>
      <c r="LW236" s="51"/>
      <c r="LX236" s="51"/>
      <c r="LY236" s="51"/>
      <c r="LZ236" s="51"/>
      <c r="MA236" s="51"/>
      <c r="MB236" s="51"/>
      <c r="MC236" s="51"/>
      <c r="MD236" s="51"/>
      <c r="ME236" s="51"/>
      <c r="MF236" s="51"/>
      <c r="MG236" s="51"/>
      <c r="MH236" s="51"/>
      <c r="MI236" s="51"/>
      <c r="MJ236" s="51"/>
      <c r="MK236" s="51"/>
      <c r="ML236" s="51"/>
      <c r="MM236" s="51"/>
      <c r="MN236" s="51"/>
      <c r="MO236" s="51"/>
      <c r="MP236" s="51"/>
      <c r="MQ236" s="51"/>
      <c r="MR236" s="51"/>
      <c r="MS236" s="51"/>
      <c r="MT236" s="51"/>
      <c r="MU236" s="51"/>
      <c r="MV236" s="51"/>
      <c r="MW236" s="51"/>
      <c r="MX236" s="51"/>
      <c r="MY236" s="51"/>
      <c r="MZ236" s="51"/>
      <c r="NA236" s="51"/>
      <c r="NB236" s="51"/>
      <c r="NC236" s="51"/>
      <c r="ND236" s="51"/>
      <c r="NE236" s="51"/>
      <c r="NF236" s="51"/>
      <c r="NG236" s="51"/>
      <c r="NH236" s="51"/>
      <c r="NI236" s="51"/>
      <c r="NJ236" s="51"/>
      <c r="NK236" s="51"/>
      <c r="NL236" s="51"/>
      <c r="NM236" s="51"/>
      <c r="NN236" s="51"/>
      <c r="NO236" s="51"/>
      <c r="NP236" s="51"/>
      <c r="NQ236" s="51"/>
      <c r="NR236" s="51"/>
      <c r="NS236" s="51"/>
      <c r="NT236" s="51"/>
      <c r="NU236" s="51"/>
      <c r="NV236" s="51"/>
      <c r="NW236" s="51"/>
      <c r="NX236" s="51"/>
      <c r="NY236" s="51"/>
      <c r="NZ236" s="51"/>
      <c r="OA236" s="51"/>
      <c r="OB236" s="51"/>
      <c r="OC236" s="51"/>
      <c r="OD236" s="51"/>
      <c r="OE236" s="51"/>
      <c r="OF236" s="51"/>
      <c r="OG236" s="51"/>
      <c r="OH236" s="51"/>
      <c r="OI236" s="51"/>
      <c r="OJ236" s="51"/>
      <c r="OK236" s="51"/>
      <c r="OL236" s="51"/>
      <c r="OM236" s="51"/>
      <c r="ON236" s="51"/>
      <c r="OO236" s="51"/>
      <c r="OP236" s="51"/>
      <c r="OQ236" s="51"/>
      <c r="OR236" s="51"/>
      <c r="OS236" s="51"/>
      <c r="OT236" s="51"/>
      <c r="OU236" s="51"/>
      <c r="OV236" s="51"/>
      <c r="OW236" s="51"/>
      <c r="OX236" s="51"/>
      <c r="OY236" s="51"/>
      <c r="OZ236" s="51"/>
      <c r="PA236" s="51"/>
      <c r="PB236" s="51"/>
      <c r="PC236" s="51"/>
      <c r="PD236" s="51"/>
      <c r="PE236" s="51"/>
      <c r="PF236" s="51"/>
      <c r="PG236" s="51"/>
      <c r="PH236" s="51"/>
      <c r="PI236" s="51"/>
      <c r="PJ236" s="51"/>
      <c r="PK236" s="51"/>
      <c r="PL236" s="51"/>
      <c r="PM236" s="51"/>
      <c r="PN236" s="51"/>
      <c r="PO236" s="51"/>
      <c r="PP236" s="51"/>
      <c r="PQ236" s="51"/>
      <c r="PR236" s="51"/>
      <c r="PS236" s="51"/>
      <c r="PT236" s="51"/>
      <c r="PU236" s="51"/>
      <c r="PV236" s="51"/>
      <c r="PW236" s="51"/>
      <c r="PX236" s="51"/>
      <c r="PY236" s="51"/>
      <c r="PZ236" s="51"/>
      <c r="QA236" s="51"/>
      <c r="QB236" s="51"/>
      <c r="QC236" s="51"/>
      <c r="QD236" s="51"/>
      <c r="QE236" s="51"/>
      <c r="QF236" s="51"/>
      <c r="QG236" s="51"/>
      <c r="QH236" s="51"/>
      <c r="QI236" s="51"/>
      <c r="QJ236" s="51"/>
      <c r="QK236" s="51"/>
      <c r="QL236" s="51"/>
      <c r="QM236" s="51"/>
      <c r="QN236" s="51"/>
      <c r="QO236" s="51"/>
      <c r="QP236" s="51"/>
      <c r="QQ236" s="51"/>
      <c r="QR236" s="51"/>
      <c r="QS236" s="51"/>
      <c r="QT236" s="51"/>
      <c r="QU236" s="51"/>
      <c r="QV236" s="51"/>
      <c r="QW236" s="51"/>
      <c r="QX236" s="51"/>
      <c r="QY236" s="51"/>
      <c r="QZ236" s="51"/>
      <c r="RA236" s="51"/>
      <c r="RB236" s="51"/>
      <c r="RC236" s="51"/>
      <c r="RD236" s="51"/>
      <c r="RE236" s="51"/>
      <c r="RF236" s="51"/>
      <c r="RG236" s="51"/>
      <c r="RH236" s="51"/>
      <c r="RI236" s="51"/>
      <c r="RJ236" s="51"/>
      <c r="RK236" s="51"/>
      <c r="RL236" s="51"/>
      <c r="RM236" s="51"/>
      <c r="RN236" s="51"/>
      <c r="RO236" s="51"/>
      <c r="RP236" s="51"/>
      <c r="RQ236" s="51"/>
      <c r="RR236" s="51"/>
      <c r="RS236" s="51"/>
      <c r="RT236" s="51"/>
      <c r="RU236" s="51"/>
      <c r="RV236" s="51"/>
      <c r="RW236" s="51"/>
      <c r="RX236" s="51"/>
      <c r="RY236" s="51"/>
      <c r="RZ236" s="51"/>
      <c r="SA236" s="51"/>
      <c r="SB236" s="51"/>
      <c r="SC236" s="51"/>
      <c r="SD236" s="51"/>
      <c r="SE236" s="51"/>
      <c r="SF236" s="51"/>
      <c r="SG236" s="51"/>
      <c r="SH236" s="51"/>
      <c r="SI236" s="51"/>
      <c r="SJ236" s="51"/>
      <c r="SK236" s="51"/>
      <c r="SL236" s="51"/>
      <c r="SM236" s="51"/>
      <c r="SN236" s="51"/>
      <c r="SO236" s="51"/>
      <c r="SP236" s="51"/>
      <c r="SQ236" s="51"/>
      <c r="SR236" s="51"/>
      <c r="SS236" s="51"/>
      <c r="ST236" s="51"/>
      <c r="SU236" s="51"/>
      <c r="SV236" s="51"/>
      <c r="SW236" s="51"/>
      <c r="SX236" s="51"/>
      <c r="SY236" s="51"/>
      <c r="SZ236" s="51"/>
      <c r="TA236" s="51"/>
      <c r="TB236" s="51"/>
      <c r="TC236" s="51"/>
      <c r="TD236" s="51"/>
      <c r="TE236" s="51"/>
      <c r="TF236" s="51"/>
      <c r="TG236" s="51"/>
      <c r="TH236" s="51"/>
      <c r="TI236" s="51"/>
      <c r="TJ236" s="51"/>
      <c r="TK236" s="51"/>
      <c r="TL236" s="51"/>
      <c r="TM236" s="51"/>
      <c r="TN236" s="51"/>
      <c r="TO236" s="51"/>
      <c r="TP236" s="51"/>
      <c r="TQ236" s="51"/>
      <c r="TR236" s="51"/>
      <c r="TS236" s="51"/>
      <c r="TT236" s="51"/>
      <c r="TU236" s="51"/>
      <c r="TV236" s="51"/>
      <c r="TW236" s="51"/>
      <c r="TX236" s="51"/>
      <c r="TY236" s="51"/>
      <c r="TZ236" s="51"/>
      <c r="UA236" s="51"/>
      <c r="UB236" s="51"/>
      <c r="UC236" s="51"/>
      <c r="UD236" s="51"/>
      <c r="UE236" s="51"/>
      <c r="UF236" s="51"/>
      <c r="UG236" s="51"/>
      <c r="UH236" s="51"/>
      <c r="UI236" s="51"/>
      <c r="UJ236" s="51"/>
      <c r="UK236" s="51"/>
      <c r="UL236" s="51"/>
      <c r="UM236" s="51"/>
      <c r="UN236" s="51"/>
      <c r="UO236" s="51"/>
      <c r="UP236" s="51"/>
      <c r="UQ236" s="51"/>
      <c r="UR236" s="51"/>
      <c r="US236" s="51"/>
      <c r="UT236" s="51"/>
      <c r="UU236" s="51"/>
      <c r="UV236" s="51"/>
      <c r="UW236" s="51"/>
      <c r="UX236" s="51"/>
      <c r="UY236" s="51"/>
      <c r="UZ236" s="51"/>
      <c r="VA236" s="51"/>
      <c r="VB236" s="51"/>
      <c r="VC236" s="51"/>
      <c r="VD236" s="51"/>
      <c r="VE236" s="51"/>
      <c r="VF236" s="51"/>
      <c r="VG236" s="51"/>
      <c r="VH236" s="51"/>
      <c r="VI236" s="51"/>
      <c r="VJ236" s="51"/>
      <c r="VK236" s="51"/>
      <c r="VL236" s="51"/>
      <c r="VM236" s="51"/>
      <c r="VN236" s="51"/>
      <c r="VO236" s="51"/>
      <c r="VP236" s="51"/>
      <c r="VQ236" s="51"/>
      <c r="VR236" s="51"/>
      <c r="VS236" s="51"/>
      <c r="VT236" s="51"/>
      <c r="VU236" s="51"/>
      <c r="VV236" s="51"/>
      <c r="VW236" s="51"/>
      <c r="VX236" s="51"/>
      <c r="VY236" s="51"/>
      <c r="VZ236" s="51"/>
      <c r="WA236" s="51"/>
      <c r="WB236" s="51"/>
      <c r="WC236" s="51"/>
      <c r="WD236" s="51"/>
      <c r="WE236" s="51"/>
      <c r="WF236" s="51"/>
      <c r="WG236" s="51"/>
      <c r="WH236" s="51"/>
      <c r="WI236" s="51"/>
      <c r="WJ236" s="51"/>
      <c r="WK236" s="51"/>
      <c r="WL236" s="51"/>
      <c r="WM236" s="51"/>
      <c r="WN236" s="51"/>
      <c r="WO236" s="51"/>
      <c r="WP236" s="51"/>
      <c r="WQ236" s="51"/>
      <c r="WR236" s="51"/>
      <c r="WS236" s="51"/>
      <c r="WT236" s="51"/>
      <c r="WU236" s="51"/>
      <c r="WV236" s="51"/>
      <c r="WW236" s="51"/>
      <c r="WX236" s="51"/>
      <c r="WY236" s="51"/>
      <c r="WZ236" s="51"/>
      <c r="XA236" s="51"/>
      <c r="XB236" s="51"/>
      <c r="XC236" s="51"/>
      <c r="XD236" s="51"/>
      <c r="XE236" s="51"/>
      <c r="XF236" s="51"/>
      <c r="XG236" s="51"/>
      <c r="XH236" s="51"/>
      <c r="XI236" s="51"/>
      <c r="XJ236" s="51"/>
      <c r="XK236" s="51"/>
      <c r="XL236" s="51"/>
      <c r="XM236" s="51"/>
      <c r="XN236" s="51"/>
      <c r="XO236" s="51"/>
      <c r="XP236" s="51"/>
      <c r="XQ236" s="51"/>
      <c r="XR236" s="51"/>
      <c r="XS236" s="51"/>
      <c r="XT236" s="51"/>
      <c r="XU236" s="51"/>
      <c r="XV236" s="51"/>
      <c r="XW236" s="51"/>
      <c r="XX236" s="51"/>
      <c r="XY236" s="51"/>
      <c r="XZ236" s="51"/>
      <c r="YA236" s="51"/>
      <c r="YB236" s="51"/>
      <c r="YC236" s="51"/>
      <c r="YD236" s="51"/>
      <c r="YE236" s="51"/>
      <c r="YF236" s="51"/>
      <c r="YG236" s="51"/>
      <c r="YH236" s="51"/>
      <c r="YI236" s="51"/>
      <c r="YJ236" s="51"/>
      <c r="YK236" s="51"/>
      <c r="YL236" s="51"/>
      <c r="YM236" s="51"/>
      <c r="YN236" s="51"/>
      <c r="YO236" s="51"/>
      <c r="YP236" s="51"/>
      <c r="YQ236" s="51"/>
      <c r="YR236" s="51"/>
      <c r="YS236" s="51"/>
      <c r="YT236" s="51"/>
      <c r="YU236" s="51"/>
      <c r="YV236" s="51"/>
      <c r="YW236" s="51"/>
      <c r="YX236" s="51"/>
      <c r="YY236" s="51"/>
      <c r="YZ236" s="51"/>
      <c r="ZA236" s="51"/>
      <c r="ZB236" s="51"/>
      <c r="ZC236" s="51"/>
      <c r="ZD236" s="51"/>
      <c r="ZE236" s="51"/>
      <c r="ZF236" s="51"/>
      <c r="ZG236" s="51"/>
      <c r="ZH236" s="51"/>
      <c r="ZI236" s="51"/>
      <c r="ZJ236" s="51"/>
      <c r="ZK236" s="51"/>
      <c r="ZL236" s="51"/>
      <c r="ZM236" s="51"/>
      <c r="ZN236" s="51"/>
      <c r="ZO236" s="51"/>
      <c r="ZP236" s="51"/>
      <c r="ZQ236" s="51"/>
      <c r="ZR236" s="51"/>
      <c r="ZS236" s="51"/>
      <c r="ZT236" s="51"/>
      <c r="ZU236" s="51"/>
      <c r="ZV236" s="51"/>
      <c r="ZW236" s="51"/>
      <c r="ZX236" s="51"/>
      <c r="ZY236" s="50"/>
      <c r="ZZ236" s="50"/>
      <c r="AAA236" s="590"/>
      <c r="AAB236"/>
      <c r="AAC236"/>
      <c r="AAD236" s="113"/>
      <c r="AAE236" s="553">
        <f t="shared" si="894"/>
        <v>1</v>
      </c>
      <c r="AAF236" s="113"/>
      <c r="AAG236" s="78">
        <f>S.SubmitFeeToDAS</f>
        <v>41442</v>
      </c>
      <c r="AAH236" s="78">
        <f>S.SubmitFeeToDAS</f>
        <v>41442</v>
      </c>
      <c r="AAI236" s="77"/>
      <c r="AAJ236" s="77"/>
      <c r="AAK236" s="77"/>
      <c r="AAL236" s="89" t="str">
        <f>"Send "&amp;S.CodeName&amp;"DAS.EMAILS.pdf"</f>
        <v>Send DAS.EMAILS.pdf</v>
      </c>
      <c r="AAM236" s="113"/>
      <c r="AAO236" s="23"/>
      <c r="AAP236" s="23"/>
      <c r="AAQ236" s="23"/>
      <c r="AAR236" s="23"/>
      <c r="AAS236" s="23"/>
      <c r="AAT236" s="23"/>
      <c r="AAU236" s="44"/>
      <c r="AAV236" s="23"/>
      <c r="AAW236" s="23"/>
      <c r="AAX236" s="23"/>
      <c r="AAY236" s="23"/>
      <c r="AAZ236" s="23"/>
      <c r="ABA236" s="23"/>
      <c r="ABB236" s="23"/>
      <c r="ABC236" s="23"/>
      <c r="ABD236" s="23"/>
    </row>
    <row r="237" spans="1:732" ht="15" outlineLevel="1">
      <c r="A237" s="560"/>
      <c r="B237" s="234" t="s">
        <v>53</v>
      </c>
      <c r="C237" s="169"/>
      <c r="D237" s="279" t="s">
        <v>75</v>
      </c>
      <c r="E237" s="493">
        <f t="shared" si="901"/>
        <v>1</v>
      </c>
      <c r="F237" s="373">
        <f t="shared" ref="F237:F243" ca="1" si="902">NETWORKDAYS(TODAY(),H237)</f>
        <v>52</v>
      </c>
      <c r="G237" s="370">
        <f>AAG237</f>
        <v>41452</v>
      </c>
      <c r="H237" s="371">
        <f t="shared" ref="G237:H246" si="903">AAH237</f>
        <v>41452</v>
      </c>
      <c r="I237" s="629"/>
      <c r="J237" s="594"/>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0"/>
      <c r="IZ237" s="50"/>
      <c r="JA237" s="50"/>
      <c r="JB237" s="50"/>
      <c r="JC237" s="50"/>
      <c r="JD237" s="50"/>
      <c r="JE237" s="50"/>
      <c r="JF237" s="50"/>
      <c r="JG237" s="50"/>
      <c r="JH237" s="50"/>
      <c r="JI237" s="50"/>
      <c r="JJ237" s="50"/>
      <c r="JK237" s="50"/>
      <c r="JL237" s="50"/>
      <c r="JM237" s="50"/>
      <c r="JN237" s="50"/>
      <c r="JO237" s="50"/>
      <c r="JP237" s="50"/>
      <c r="JQ237" s="50"/>
      <c r="JR237" s="50"/>
      <c r="JS237" s="50"/>
      <c r="JT237" s="50"/>
      <c r="JU237" s="50"/>
      <c r="JV237" s="50"/>
      <c r="JW237" s="50"/>
      <c r="JX237" s="50"/>
      <c r="JY237" s="50"/>
      <c r="JZ237" s="50"/>
      <c r="KA237" s="50"/>
      <c r="KB237" s="50"/>
      <c r="KC237" s="50"/>
      <c r="KD237" s="50"/>
      <c r="KE237" s="50"/>
      <c r="KF237" s="50"/>
      <c r="KG237" s="50"/>
      <c r="KH237" s="50"/>
      <c r="KI237" s="50"/>
      <c r="KJ237" s="50"/>
      <c r="KK237" s="50"/>
      <c r="KL237" s="50"/>
      <c r="KM237" s="50"/>
      <c r="KN237" s="50"/>
      <c r="KO237" s="50"/>
      <c r="KP237" s="50"/>
      <c r="KQ237" s="50"/>
      <c r="KR237" s="50"/>
      <c r="KS237" s="50"/>
      <c r="KT237" s="50"/>
      <c r="KU237" s="50"/>
      <c r="KV237" s="50"/>
      <c r="KW237" s="50"/>
      <c r="KX237" s="50"/>
      <c r="KY237" s="50"/>
      <c r="KZ237" s="50"/>
      <c r="LA237" s="50"/>
      <c r="LB237" s="50"/>
      <c r="LC237" s="50"/>
      <c r="LD237" s="50"/>
      <c r="LE237" s="50"/>
      <c r="LF237" s="50"/>
      <c r="LG237" s="50"/>
      <c r="LH237" s="50"/>
      <c r="LI237" s="50"/>
      <c r="LJ237" s="50"/>
      <c r="LK237" s="50"/>
      <c r="LL237" s="50"/>
      <c r="LM237" s="50"/>
      <c r="LN237" s="50"/>
      <c r="LO237" s="50"/>
      <c r="LP237" s="50"/>
      <c r="LQ237" s="50"/>
      <c r="LR237" s="50"/>
      <c r="LS237" s="50"/>
      <c r="LT237" s="50"/>
      <c r="LU237" s="50"/>
      <c r="LV237" s="50"/>
      <c r="LW237" s="50"/>
      <c r="LX237" s="50"/>
      <c r="LY237" s="50"/>
      <c r="LZ237" s="50"/>
      <c r="MA237" s="50"/>
      <c r="MB237" s="50"/>
      <c r="MC237" s="50"/>
      <c r="MD237" s="50"/>
      <c r="ME237" s="50"/>
      <c r="MF237" s="50"/>
      <c r="MG237" s="50"/>
      <c r="MH237" s="50"/>
      <c r="MI237" s="50"/>
      <c r="MJ237" s="50"/>
      <c r="MK237" s="50"/>
      <c r="ML237" s="50"/>
      <c r="MM237" s="50"/>
      <c r="MN237" s="50"/>
      <c r="MO237" s="50"/>
      <c r="MP237" s="50"/>
      <c r="MQ237" s="50"/>
      <c r="MR237" s="50"/>
      <c r="MS237" s="50"/>
      <c r="MT237" s="50"/>
      <c r="MU237" s="50"/>
      <c r="MV237" s="50"/>
      <c r="MW237" s="50"/>
      <c r="MX237" s="50"/>
      <c r="MY237" s="50"/>
      <c r="MZ237" s="50"/>
      <c r="NA237" s="50"/>
      <c r="NB237" s="50"/>
      <c r="NC237" s="50"/>
      <c r="ND237" s="50"/>
      <c r="NE237" s="50"/>
      <c r="NF237" s="50"/>
      <c r="NG237" s="50"/>
      <c r="NH237" s="50"/>
      <c r="NI237" s="50"/>
      <c r="NJ237" s="50"/>
      <c r="NK237" s="50"/>
      <c r="NL237" s="50"/>
      <c r="NM237" s="50"/>
      <c r="NN237" s="50"/>
      <c r="NO237" s="50"/>
      <c r="NP237" s="50"/>
      <c r="NQ237" s="50"/>
      <c r="NR237" s="50"/>
      <c r="NS237" s="50"/>
      <c r="NT237" s="50"/>
      <c r="NU237" s="50"/>
      <c r="NV237" s="50"/>
      <c r="NW237" s="50"/>
      <c r="NX237" s="50"/>
      <c r="NY237" s="50"/>
      <c r="NZ237" s="50"/>
      <c r="OA237" s="50"/>
      <c r="OB237" s="50"/>
      <c r="OC237" s="50"/>
      <c r="OD237" s="50"/>
      <c r="OE237" s="50"/>
      <c r="OF237" s="50"/>
      <c r="OG237" s="50"/>
      <c r="OH237" s="50"/>
      <c r="OI237" s="50"/>
      <c r="OJ237" s="50"/>
      <c r="OK237" s="50"/>
      <c r="OL237" s="50"/>
      <c r="OM237" s="50"/>
      <c r="ON237" s="50"/>
      <c r="OO237" s="50"/>
      <c r="OP237" s="50"/>
      <c r="OQ237" s="50"/>
      <c r="OR237" s="50"/>
      <c r="OS237" s="50"/>
      <c r="OT237" s="50"/>
      <c r="OU237" s="50"/>
      <c r="OV237" s="50"/>
      <c r="OW237" s="50"/>
      <c r="OX237" s="50"/>
      <c r="OY237" s="50"/>
      <c r="OZ237" s="50"/>
      <c r="PA237" s="50"/>
      <c r="PB237" s="50"/>
      <c r="PC237" s="50"/>
      <c r="PD237" s="50"/>
      <c r="PE237" s="50"/>
      <c r="PF237" s="50"/>
      <c r="PG237" s="50"/>
      <c r="PH237" s="50"/>
      <c r="PI237" s="50"/>
      <c r="PJ237" s="50"/>
      <c r="PK237" s="50"/>
      <c r="PL237" s="50"/>
      <c r="PM237" s="50"/>
      <c r="PN237" s="50"/>
      <c r="PO237" s="50"/>
      <c r="PP237" s="50"/>
      <c r="PQ237" s="50"/>
      <c r="PR237" s="50"/>
      <c r="PS237" s="50"/>
      <c r="PT237" s="50"/>
      <c r="PU237" s="50"/>
      <c r="PV237" s="50"/>
      <c r="PW237" s="50"/>
      <c r="PX237" s="50"/>
      <c r="PY237" s="50"/>
      <c r="PZ237" s="50"/>
      <c r="QA237" s="50"/>
      <c r="QB237" s="50"/>
      <c r="QC237" s="50"/>
      <c r="QD237" s="50"/>
      <c r="QE237" s="50"/>
      <c r="QF237" s="50"/>
      <c r="QG237" s="50"/>
      <c r="QH237" s="50"/>
      <c r="QI237" s="50"/>
      <c r="QJ237" s="50"/>
      <c r="QK237" s="50"/>
      <c r="QL237" s="50"/>
      <c r="QM237" s="50"/>
      <c r="QN237" s="50"/>
      <c r="QO237" s="50"/>
      <c r="QP237" s="50"/>
      <c r="QQ237" s="50"/>
      <c r="QR237" s="50"/>
      <c r="QS237" s="50"/>
      <c r="QT237" s="50"/>
      <c r="QU237" s="50"/>
      <c r="QV237" s="50"/>
      <c r="QW237" s="50"/>
      <c r="QX237" s="50"/>
      <c r="QY237" s="50"/>
      <c r="QZ237" s="50"/>
      <c r="RA237" s="50"/>
      <c r="RB237" s="50"/>
      <c r="RC237" s="50"/>
      <c r="RD237" s="50"/>
      <c r="RE237" s="50"/>
      <c r="RF237" s="50"/>
      <c r="RG237" s="50"/>
      <c r="RH237" s="50"/>
      <c r="RI237" s="50"/>
      <c r="RJ237" s="50"/>
      <c r="RK237" s="50"/>
      <c r="RL237" s="50"/>
      <c r="RM237" s="50"/>
      <c r="RN237" s="50"/>
      <c r="RO237" s="50"/>
      <c r="RP237" s="50"/>
      <c r="RQ237" s="50"/>
      <c r="RR237" s="50"/>
      <c r="RS237" s="50"/>
      <c r="RT237" s="50"/>
      <c r="RU237" s="50"/>
      <c r="RV237" s="50"/>
      <c r="RW237" s="50"/>
      <c r="RX237" s="50"/>
      <c r="RY237" s="50"/>
      <c r="RZ237" s="50"/>
      <c r="SA237" s="50"/>
      <c r="SB237" s="50"/>
      <c r="SC237" s="50"/>
      <c r="SD237" s="50"/>
      <c r="SE237" s="50"/>
      <c r="SF237" s="50"/>
      <c r="SG237" s="50"/>
      <c r="SH237" s="50"/>
      <c r="SI237" s="50"/>
      <c r="SJ237" s="50"/>
      <c r="SK237" s="50"/>
      <c r="SL237" s="50"/>
      <c r="SM237" s="50"/>
      <c r="SN237" s="50"/>
      <c r="SO237" s="50"/>
      <c r="SP237" s="50"/>
      <c r="SQ237" s="50"/>
      <c r="SR237" s="50"/>
      <c r="SS237" s="50"/>
      <c r="ST237" s="50"/>
      <c r="SU237" s="50"/>
      <c r="SV237" s="50"/>
      <c r="SW237" s="50"/>
      <c r="SX237" s="50"/>
      <c r="SY237" s="50"/>
      <c r="SZ237" s="50"/>
      <c r="TA237" s="50"/>
      <c r="TB237" s="50"/>
      <c r="TC237" s="50"/>
      <c r="TD237" s="50"/>
      <c r="TE237" s="50"/>
      <c r="TF237" s="50"/>
      <c r="TG237" s="50"/>
      <c r="TH237" s="50"/>
      <c r="TI237" s="50"/>
      <c r="TJ237" s="50"/>
      <c r="TK237" s="50"/>
      <c r="TL237" s="50"/>
      <c r="TM237" s="50"/>
      <c r="TN237" s="50"/>
      <c r="TO237" s="50"/>
      <c r="TP237" s="50"/>
      <c r="TQ237" s="50"/>
      <c r="TR237" s="50"/>
      <c r="TS237" s="50"/>
      <c r="TT237" s="50"/>
      <c r="TU237" s="50"/>
      <c r="TV237" s="50"/>
      <c r="TW237" s="50"/>
      <c r="TX237" s="50"/>
      <c r="TY237" s="50"/>
      <c r="TZ237" s="50"/>
      <c r="UA237" s="50"/>
      <c r="UB237" s="50"/>
      <c r="UC237" s="50"/>
      <c r="UD237" s="50"/>
      <c r="UE237" s="50"/>
      <c r="UF237" s="50"/>
      <c r="UG237" s="50"/>
      <c r="UH237" s="50"/>
      <c r="UI237" s="50"/>
      <c r="UJ237" s="50"/>
      <c r="UK237" s="50"/>
      <c r="UL237" s="50"/>
      <c r="UM237" s="50"/>
      <c r="UN237" s="50"/>
      <c r="UO237" s="50"/>
      <c r="UP237" s="50"/>
      <c r="UQ237" s="50"/>
      <c r="UR237" s="50"/>
      <c r="US237" s="50"/>
      <c r="UT237" s="50"/>
      <c r="UU237" s="50"/>
      <c r="UV237" s="50"/>
      <c r="UW237" s="50"/>
      <c r="UX237" s="50"/>
      <c r="UY237" s="50"/>
      <c r="UZ237" s="50"/>
      <c r="VA237" s="50"/>
      <c r="VB237" s="50"/>
      <c r="VC237" s="50"/>
      <c r="VD237" s="50"/>
      <c r="VE237" s="50"/>
      <c r="VF237" s="50"/>
      <c r="VG237" s="50"/>
      <c r="VH237" s="50"/>
      <c r="VI237" s="50"/>
      <c r="VJ237" s="50"/>
      <c r="VK237" s="50"/>
      <c r="VL237" s="50"/>
      <c r="VM237" s="50"/>
      <c r="VN237" s="50"/>
      <c r="VO237" s="50"/>
      <c r="VP237" s="50"/>
      <c r="VQ237" s="50"/>
      <c r="VR237" s="50"/>
      <c r="VS237" s="50"/>
      <c r="VT237" s="50"/>
      <c r="VU237" s="50"/>
      <c r="VV237" s="50"/>
      <c r="VW237" s="50"/>
      <c r="VX237" s="50"/>
      <c r="VY237" s="50"/>
      <c r="VZ237" s="50"/>
      <c r="WA237" s="50"/>
      <c r="WB237" s="50"/>
      <c r="WC237" s="50"/>
      <c r="WD237" s="50"/>
      <c r="WE237" s="50"/>
      <c r="WF237" s="50"/>
      <c r="WG237" s="50"/>
      <c r="WH237" s="50"/>
      <c r="WI237" s="50"/>
      <c r="WJ237" s="50"/>
      <c r="WK237" s="50"/>
      <c r="WL237" s="50"/>
      <c r="WM237" s="50"/>
      <c r="WN237" s="50"/>
      <c r="WO237" s="50"/>
      <c r="WP237" s="50"/>
      <c r="WQ237" s="50"/>
      <c r="WR237" s="50"/>
      <c r="WS237" s="50"/>
      <c r="WT237" s="50"/>
      <c r="WU237" s="50"/>
      <c r="WV237" s="50"/>
      <c r="WW237" s="50"/>
      <c r="WX237" s="50"/>
      <c r="WY237" s="50"/>
      <c r="WZ237" s="50"/>
      <c r="XA237" s="50"/>
      <c r="XB237" s="50"/>
      <c r="XC237" s="50"/>
      <c r="XD237" s="50"/>
      <c r="XE237" s="50"/>
      <c r="XF237" s="50"/>
      <c r="XG237" s="50"/>
      <c r="XH237" s="50"/>
      <c r="XI237" s="50"/>
      <c r="XJ237" s="50"/>
      <c r="XK237" s="50"/>
      <c r="XL237" s="50"/>
      <c r="XM237" s="50"/>
      <c r="XN237" s="50"/>
      <c r="XO237" s="50"/>
      <c r="XP237" s="50"/>
      <c r="XQ237" s="50"/>
      <c r="XR237" s="50"/>
      <c r="XS237" s="50"/>
      <c r="XT237" s="50"/>
      <c r="XU237" s="50"/>
      <c r="XV237" s="50"/>
      <c r="XW237" s="50"/>
      <c r="XX237" s="50"/>
      <c r="XY237" s="50"/>
      <c r="XZ237" s="50"/>
      <c r="YA237" s="50"/>
      <c r="YB237" s="50"/>
      <c r="YC237" s="50"/>
      <c r="YD237" s="50"/>
      <c r="YE237" s="50"/>
      <c r="YF237" s="50"/>
      <c r="YG237" s="50"/>
      <c r="YH237" s="50"/>
      <c r="YI237" s="50"/>
      <c r="YJ237" s="50"/>
      <c r="YK237" s="50"/>
      <c r="YL237" s="50"/>
      <c r="YM237" s="50"/>
      <c r="YN237" s="50"/>
      <c r="YO237" s="50"/>
      <c r="YP237" s="50"/>
      <c r="YQ237" s="50"/>
      <c r="YR237" s="50"/>
      <c r="YS237" s="50"/>
      <c r="YT237" s="50"/>
      <c r="YU237" s="50"/>
      <c r="YV237" s="50"/>
      <c r="YW237" s="50"/>
      <c r="YX237" s="50"/>
      <c r="YY237" s="50"/>
      <c r="YZ237" s="50"/>
      <c r="ZA237" s="50"/>
      <c r="ZB237" s="50"/>
      <c r="ZC237" s="50"/>
      <c r="ZD237" s="50"/>
      <c r="ZE237" s="50"/>
      <c r="ZF237" s="50"/>
      <c r="ZG237" s="50"/>
      <c r="ZH237" s="50"/>
      <c r="ZI237" s="50"/>
      <c r="ZJ237" s="50"/>
      <c r="ZK237" s="50"/>
      <c r="ZL237" s="50"/>
      <c r="ZM237" s="50"/>
      <c r="ZN237" s="50"/>
      <c r="ZO237" s="50"/>
      <c r="ZP237" s="50"/>
      <c r="ZQ237" s="50"/>
      <c r="ZR237" s="50"/>
      <c r="ZS237" s="50"/>
      <c r="ZT237" s="50"/>
      <c r="ZU237" s="50"/>
      <c r="ZV237" s="50"/>
      <c r="ZW237" s="50"/>
      <c r="ZX237" s="50"/>
      <c r="ZY237" s="50"/>
      <c r="ZZ237" s="50"/>
      <c r="AAA237" s="590"/>
      <c r="AAD237" s="113"/>
      <c r="AAE237" s="553">
        <f t="shared" si="894"/>
        <v>1</v>
      </c>
      <c r="AAF237" s="113"/>
      <c r="AAG237" s="78">
        <f>WORKDAY(G236+9,1,S.DDL_DEQClosed)</f>
        <v>41452</v>
      </c>
      <c r="AAH237" s="78">
        <f t="shared" ref="AAH237:AAH243" si="904">G237</f>
        <v>41452</v>
      </c>
      <c r="AAI237" s="77"/>
      <c r="AAJ237" s="77"/>
      <c r="AAK237" s="77"/>
      <c r="AAL237" s="80"/>
      <c r="AAM237" s="113"/>
      <c r="AAN237"/>
      <c r="AAT237" s="23"/>
      <c r="AAU237" s="44"/>
    </row>
    <row r="238" spans="1:732" s="23" customFormat="1" ht="15" outlineLevel="1">
      <c r="A238" s="560"/>
      <c r="B238" s="231" t="s">
        <v>192</v>
      </c>
      <c r="C238" s="169"/>
      <c r="D238" s="279" t="s">
        <v>215</v>
      </c>
      <c r="E238" s="493">
        <f>NETWORKDAYS(G238,H238,S.DDL_DEQClosed)</f>
        <v>1</v>
      </c>
      <c r="F238" s="373">
        <f t="shared" ref="F238" ca="1" si="905">NETWORKDAYS(TODAY(),H238)</f>
        <v>52</v>
      </c>
      <c r="G238" s="499">
        <f>AAG238</f>
        <v>41452</v>
      </c>
      <c r="H238" s="498">
        <f t="shared" ref="H238" si="906">AAH238</f>
        <v>41452</v>
      </c>
      <c r="I238" s="629"/>
      <c r="J238" s="594"/>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90"/>
      <c r="AAB238"/>
      <c r="AAC238"/>
      <c r="AAD238" s="113"/>
      <c r="AAE238" s="553">
        <f t="shared" si="894"/>
        <v>1</v>
      </c>
      <c r="AAF238" s="113"/>
      <c r="AAG238" s="78">
        <f>H237</f>
        <v>41452</v>
      </c>
      <c r="AAH238" s="78">
        <f t="shared" ref="AAH238" si="907">G238</f>
        <v>41452</v>
      </c>
      <c r="AAI238" s="77"/>
      <c r="AAJ238" s="77"/>
      <c r="AAK238" s="77"/>
      <c r="AAL238" s="80"/>
      <c r="AAM238" s="113"/>
      <c r="AAU238" s="44"/>
      <c r="AAV238"/>
      <c r="AAW238"/>
      <c r="AAX238"/>
      <c r="AAY238"/>
      <c r="AAZ238"/>
      <c r="ABA238"/>
      <c r="ABB238"/>
      <c r="ABC238"/>
      <c r="ABD238"/>
    </row>
    <row r="239" spans="1:732" ht="18" customHeight="1" outlineLevel="1">
      <c r="A239" s="560"/>
      <c r="B239" s="759" t="s">
        <v>315</v>
      </c>
      <c r="C239" s="760"/>
      <c r="D239" s="154"/>
      <c r="E239" s="353"/>
      <c r="F239" s="353"/>
      <c r="G239" s="352"/>
      <c r="H239" s="352"/>
      <c r="I239" s="590"/>
      <c r="J239" s="594"/>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620"/>
      <c r="ZZ239" s="36"/>
      <c r="AAA239" s="590"/>
      <c r="AAD239" s="113"/>
      <c r="AAE239" s="553">
        <f t="shared" si="894"/>
        <v>1</v>
      </c>
      <c r="AAF239" s="585" t="s">
        <v>199</v>
      </c>
      <c r="AAG239" s="76"/>
      <c r="AAH239" s="76"/>
      <c r="AAI239" s="77"/>
      <c r="AAJ239" s="77"/>
      <c r="AAK239" s="77"/>
      <c r="AAL239" s="80"/>
      <c r="AAM239" s="113"/>
      <c r="AAN239"/>
      <c r="AAT239" s="23"/>
      <c r="AAU239" s="44"/>
    </row>
    <row r="240" spans="1:732" ht="15" outlineLevel="1">
      <c r="A240" s="560"/>
      <c r="B240" s="260" t="s">
        <v>98</v>
      </c>
      <c r="C240" s="240"/>
      <c r="D240" s="261" t="s">
        <v>185</v>
      </c>
      <c r="E240" s="493">
        <f>NETWORKDAYS(G240,H240,S.DDL_DEQClosed)</f>
        <v>1</v>
      </c>
      <c r="F240" s="373">
        <f t="shared" ca="1" si="902"/>
        <v>52</v>
      </c>
      <c r="G240" s="370">
        <f t="shared" si="903"/>
        <v>41452</v>
      </c>
      <c r="H240" s="370">
        <f t="shared" si="903"/>
        <v>41452</v>
      </c>
      <c r="I240" s="629"/>
      <c r="J240" s="594"/>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50"/>
      <c r="ZZ240" s="50"/>
      <c r="AAA240" s="590"/>
      <c r="AAD240" s="113"/>
      <c r="AAE240" s="553">
        <f t="shared" si="894"/>
        <v>1</v>
      </c>
      <c r="AAF240" s="113"/>
      <c r="AAG240" s="78">
        <f>H238</f>
        <v>41452</v>
      </c>
      <c r="AAH240" s="78">
        <f t="shared" si="904"/>
        <v>41452</v>
      </c>
      <c r="AAI240" s="77"/>
      <c r="AAJ240" s="77"/>
      <c r="AAK240" s="77"/>
      <c r="AAL240" s="80"/>
      <c r="AAM240" s="113"/>
      <c r="AAN240"/>
      <c r="AAT240" s="23"/>
      <c r="AAU240" s="44"/>
    </row>
    <row r="241" spans="1:732" ht="15" outlineLevel="1">
      <c r="A241" s="560"/>
      <c r="B241" s="262" t="s">
        <v>99</v>
      </c>
      <c r="C241" s="240"/>
      <c r="D241" s="261" t="s">
        <v>185</v>
      </c>
      <c r="E241" s="493">
        <f>NETWORKDAYS(G241,H241,S.DDL_DEQClosed)</f>
        <v>1</v>
      </c>
      <c r="F241" s="373">
        <f t="shared" ca="1" si="902"/>
        <v>52</v>
      </c>
      <c r="G241" s="370">
        <f t="shared" si="903"/>
        <v>41452</v>
      </c>
      <c r="H241" s="370">
        <f t="shared" si="903"/>
        <v>41452</v>
      </c>
      <c r="I241" s="629"/>
      <c r="J241" s="594"/>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90"/>
      <c r="AAD241" s="113"/>
      <c r="AAE241" s="553">
        <f t="shared" si="894"/>
        <v>1</v>
      </c>
      <c r="AAF241" s="113"/>
      <c r="AAG241" s="78">
        <f t="shared" ref="AAG241:AAG243" si="908">H240</f>
        <v>41452</v>
      </c>
      <c r="AAH241" s="78">
        <f t="shared" si="904"/>
        <v>41452</v>
      </c>
      <c r="AAI241" s="77"/>
      <c r="AAJ241" s="77"/>
      <c r="AAK241" s="77"/>
      <c r="AAL241" s="80"/>
      <c r="AAM241" s="113"/>
      <c r="AAN241"/>
      <c r="AAT241" s="23"/>
      <c r="AAU241" s="44"/>
    </row>
    <row r="242" spans="1:732" ht="15" outlineLevel="1">
      <c r="A242" s="560"/>
      <c r="B242" s="263" t="s">
        <v>100</v>
      </c>
      <c r="C242" s="240"/>
      <c r="D242" s="261" t="s">
        <v>185</v>
      </c>
      <c r="E242" s="493">
        <f>NETWORKDAYS(G242,H242,S.DDL_DEQClosed)</f>
        <v>1</v>
      </c>
      <c r="F242" s="373">
        <f t="shared" ca="1" si="902"/>
        <v>52</v>
      </c>
      <c r="G242" s="370">
        <f t="shared" si="903"/>
        <v>41452</v>
      </c>
      <c r="H242" s="370">
        <f t="shared" si="903"/>
        <v>41452</v>
      </c>
      <c r="I242" s="629"/>
      <c r="J242" s="594"/>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90"/>
      <c r="AAD242" s="113"/>
      <c r="AAE242" s="553">
        <f t="shared" si="894"/>
        <v>1</v>
      </c>
      <c r="AAF242" s="113"/>
      <c r="AAG242" s="78">
        <f t="shared" si="908"/>
        <v>41452</v>
      </c>
      <c r="AAH242" s="78">
        <f t="shared" si="904"/>
        <v>41452</v>
      </c>
      <c r="AAI242" s="77"/>
      <c r="AAJ242" s="77"/>
      <c r="AAK242" s="77"/>
      <c r="AAL242" s="80"/>
      <c r="AAM242" s="113"/>
      <c r="AAN242"/>
      <c r="AAT242" s="23"/>
      <c r="AAU242" s="44"/>
      <c r="AAV242" s="23"/>
      <c r="AAW242" s="23"/>
      <c r="AAX242" s="23"/>
      <c r="AAY242" s="23"/>
      <c r="AAZ242" s="23"/>
      <c r="ABA242" s="23"/>
      <c r="ABB242" s="23"/>
      <c r="ABC242" s="23"/>
      <c r="ABD242" s="23"/>
    </row>
    <row r="243" spans="1:732" ht="15" outlineLevel="1">
      <c r="A243" s="560"/>
      <c r="B243" s="268" t="s">
        <v>101</v>
      </c>
      <c r="C243" s="240"/>
      <c r="D243" s="261" t="s">
        <v>185</v>
      </c>
      <c r="E243" s="493">
        <f>NETWORKDAYS(G243,H243,S.DDL_DEQClosed)</f>
        <v>1</v>
      </c>
      <c r="F243" s="373">
        <f t="shared" ca="1" si="902"/>
        <v>52</v>
      </c>
      <c r="G243" s="370">
        <f t="shared" si="903"/>
        <v>41452</v>
      </c>
      <c r="H243" s="370">
        <f t="shared" si="903"/>
        <v>41452</v>
      </c>
      <c r="I243" s="629"/>
      <c r="J243" s="594"/>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90"/>
      <c r="AAD243" s="113"/>
      <c r="AAE243" s="553">
        <f t="shared" si="894"/>
        <v>1</v>
      </c>
      <c r="AAF243" s="113"/>
      <c r="AAG243" s="78">
        <f t="shared" si="908"/>
        <v>41452</v>
      </c>
      <c r="AAH243" s="78">
        <f t="shared" si="904"/>
        <v>41452</v>
      </c>
      <c r="AAI243" s="77"/>
      <c r="AAJ243" s="77"/>
      <c r="AAK243" s="77"/>
      <c r="AAL243" s="80"/>
      <c r="AAM243" s="113"/>
      <c r="AAN243"/>
      <c r="AAT243" s="23"/>
      <c r="AAU243" s="44"/>
    </row>
    <row r="244" spans="1:732" s="23" customFormat="1" ht="87" customHeight="1" outlineLevel="1">
      <c r="A244" s="560"/>
      <c r="B244" s="747" t="s">
        <v>381</v>
      </c>
      <c r="C244" s="747"/>
      <c r="D244" s="747"/>
      <c r="E244" s="747"/>
      <c r="F244" s="747"/>
      <c r="G244" s="747"/>
      <c r="H244" s="747"/>
      <c r="I244" s="590"/>
      <c r="J244" s="594"/>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620"/>
      <c r="ZZ244" s="36"/>
      <c r="AAA244" s="590"/>
      <c r="AAB244"/>
      <c r="AAC244"/>
      <c r="AAD244" s="113"/>
      <c r="AAE244" s="553">
        <f t="shared" si="894"/>
        <v>1</v>
      </c>
      <c r="AAF244" s="585" t="s">
        <v>199</v>
      </c>
      <c r="AAG244" s="63"/>
      <c r="AAH244" s="63"/>
      <c r="AAI244" s="77"/>
      <c r="AAJ244" s="77"/>
      <c r="AAK244" s="77"/>
      <c r="AAL244" s="80"/>
      <c r="AAM244" s="113"/>
      <c r="AAU244" s="44"/>
      <c r="AAV244"/>
      <c r="AAW244"/>
      <c r="AAX244"/>
      <c r="AAY244"/>
      <c r="AAZ244"/>
      <c r="ABA244"/>
      <c r="ABB244"/>
      <c r="ABC244"/>
      <c r="ABD244"/>
    </row>
    <row r="245" spans="1:732" ht="15" outlineLevel="1">
      <c r="A245" s="560"/>
      <c r="B245" s="265" t="s">
        <v>23</v>
      </c>
      <c r="C245" s="265"/>
      <c r="D245" s="176"/>
      <c r="E245" s="177"/>
      <c r="F245" s="177"/>
      <c r="G245" s="162"/>
      <c r="H245" s="162"/>
      <c r="I245" s="590"/>
      <c r="J245" s="594"/>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20"/>
      <c r="ZZ245" s="36"/>
      <c r="AAA245" s="590"/>
      <c r="AAD245" s="113"/>
      <c r="AAE245" s="553">
        <f t="shared" si="894"/>
        <v>1</v>
      </c>
      <c r="AAF245" s="585" t="s">
        <v>199</v>
      </c>
      <c r="AAG245" s="76"/>
      <c r="AAH245" s="76"/>
      <c r="AAI245" s="77"/>
      <c r="AAJ245" s="77"/>
      <c r="AAK245" s="77"/>
      <c r="AAL245" s="80"/>
      <c r="AAM245" s="113"/>
      <c r="AAN245"/>
      <c r="AAT245" s="23"/>
      <c r="AAU245" s="44"/>
    </row>
    <row r="246" spans="1:732" ht="18" customHeight="1" outlineLevel="1">
      <c r="A246" s="560"/>
      <c r="B246" s="759" t="s">
        <v>344</v>
      </c>
      <c r="C246" s="760"/>
      <c r="D246" s="279" t="s">
        <v>176</v>
      </c>
      <c r="E246" s="493">
        <f>NETWORKDAYS(G246,H246,S.DDL_DEQClosed)</f>
        <v>1</v>
      </c>
      <c r="F246" s="373">
        <f ca="1">NETWORKDAYS(TODAY(),H246)</f>
        <v>52</v>
      </c>
      <c r="G246" s="371">
        <f>AAG246</f>
        <v>41452</v>
      </c>
      <c r="H246" s="498">
        <f t="shared" si="903"/>
        <v>41452</v>
      </c>
      <c r="I246" s="629"/>
      <c r="J246" s="594"/>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50"/>
      <c r="ZZ246" s="50"/>
      <c r="AAA246" s="590"/>
      <c r="AAD246" s="113"/>
      <c r="AAE246" s="553">
        <f t="shared" si="894"/>
        <v>1</v>
      </c>
      <c r="AAF246" s="113"/>
      <c r="AAG246" s="78">
        <f>H243</f>
        <v>41452</v>
      </c>
      <c r="AAH246" s="78">
        <f>G246</f>
        <v>41452</v>
      </c>
      <c r="AAI246" s="77"/>
      <c r="AAJ246" s="77"/>
      <c r="AAK246" s="77"/>
      <c r="AAL246" s="80"/>
      <c r="AAM246" s="113"/>
      <c r="AAN246"/>
      <c r="AAT246" s="23"/>
      <c r="AAU246" s="44"/>
    </row>
    <row r="247" spans="1:732" ht="6" customHeight="1">
      <c r="A247" s="560"/>
      <c r="B247" s="269"/>
      <c r="C247" s="270"/>
      <c r="D247" s="196"/>
      <c r="E247" s="147"/>
      <c r="F247" s="147"/>
      <c r="G247" s="271"/>
      <c r="H247" s="272"/>
      <c r="I247" s="590"/>
      <c r="J247" s="635"/>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620"/>
      <c r="ZZ247" s="36"/>
      <c r="AAA247" s="590"/>
      <c r="AAD247" s="113"/>
      <c r="AAE247" s="553" t="s">
        <v>28</v>
      </c>
      <c r="AAF247" s="585" t="s">
        <v>199</v>
      </c>
      <c r="AAG247" s="63"/>
      <c r="AAH247" s="63"/>
      <c r="AAI247" s="77"/>
      <c r="AAJ247" s="77"/>
      <c r="AAK247" s="77"/>
      <c r="AAL247" s="80"/>
      <c r="AAM247" s="113"/>
      <c r="AAN247"/>
      <c r="AAT247" s="23"/>
      <c r="AAU247" s="44"/>
    </row>
    <row r="248" spans="1:732" s="23" customFormat="1" ht="18" customHeight="1">
      <c r="A248" s="560"/>
      <c r="B248" s="761" t="str">
        <f>AAL25</f>
        <v>4-Public Notice WITH hearing</v>
      </c>
      <c r="C248" s="761"/>
      <c r="D248" s="761"/>
      <c r="E248" s="761"/>
      <c r="F248" s="761"/>
      <c r="G248" s="761"/>
      <c r="H248" s="761"/>
      <c r="I248" s="590"/>
      <c r="J248" s="634"/>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c r="JI248" s="48"/>
      <c r="JJ248" s="48"/>
      <c r="JK248" s="48"/>
      <c r="JL248" s="48"/>
      <c r="JM248" s="48"/>
      <c r="JN248" s="48"/>
      <c r="JO248" s="48"/>
      <c r="JP248" s="48"/>
      <c r="JQ248" s="48"/>
      <c r="JR248" s="48"/>
      <c r="JS248" s="48"/>
      <c r="JT248" s="48"/>
      <c r="JU248" s="48"/>
      <c r="JV248" s="48"/>
      <c r="JW248" s="48"/>
      <c r="JX248" s="48"/>
      <c r="JY248" s="48"/>
      <c r="JZ248" s="48"/>
      <c r="KA248" s="48"/>
      <c r="KB248" s="48"/>
      <c r="KC248" s="48"/>
      <c r="KD248" s="48"/>
      <c r="KE248" s="48"/>
      <c r="KF248" s="48"/>
      <c r="KG248" s="48"/>
      <c r="KH248" s="48"/>
      <c r="KI248" s="48"/>
      <c r="KJ248" s="48"/>
      <c r="KK248" s="48"/>
      <c r="KL248" s="48"/>
      <c r="KM248" s="48"/>
      <c r="KN248" s="48"/>
      <c r="KO248" s="48"/>
      <c r="KP248" s="48"/>
      <c r="KQ248" s="48"/>
      <c r="KR248" s="48"/>
      <c r="KS248" s="48"/>
      <c r="KT248" s="48"/>
      <c r="KU248" s="48"/>
      <c r="KV248" s="48"/>
      <c r="KW248" s="48"/>
      <c r="KX248" s="48"/>
      <c r="KY248" s="48"/>
      <c r="KZ248" s="48"/>
      <c r="LA248" s="48"/>
      <c r="LB248" s="48"/>
      <c r="LC248" s="48"/>
      <c r="LD248" s="48"/>
      <c r="LE248" s="48"/>
      <c r="LF248" s="48"/>
      <c r="LG248" s="48"/>
      <c r="LH248" s="48"/>
      <c r="LI248" s="48"/>
      <c r="LJ248" s="48"/>
      <c r="LK248" s="48"/>
      <c r="LL248" s="48"/>
      <c r="LM248" s="48"/>
      <c r="LN248" s="48"/>
      <c r="LO248" s="48"/>
      <c r="LP248" s="48"/>
      <c r="LQ248" s="48"/>
      <c r="LR248" s="48"/>
      <c r="LS248" s="48"/>
      <c r="LT248" s="48"/>
      <c r="LU248" s="48"/>
      <c r="LV248" s="48"/>
      <c r="LW248" s="48"/>
      <c r="LX248" s="48"/>
      <c r="LY248" s="48"/>
      <c r="LZ248" s="48"/>
      <c r="MA248" s="48"/>
      <c r="MB248" s="48"/>
      <c r="MC248" s="48"/>
      <c r="MD248" s="48"/>
      <c r="ME248" s="48"/>
      <c r="MF248" s="48"/>
      <c r="MG248" s="48"/>
      <c r="MH248" s="48"/>
      <c r="MI248" s="48"/>
      <c r="MJ248" s="48"/>
      <c r="MK248" s="48"/>
      <c r="ML248" s="48"/>
      <c r="MM248" s="48"/>
      <c r="MN248" s="48"/>
      <c r="MO248" s="48"/>
      <c r="MP248" s="48"/>
      <c r="MQ248" s="48"/>
      <c r="MR248" s="48"/>
      <c r="MS248" s="48"/>
      <c r="MT248" s="48"/>
      <c r="MU248" s="48"/>
      <c r="MV248" s="48"/>
      <c r="MW248" s="48"/>
      <c r="MX248" s="48"/>
      <c r="MY248" s="48"/>
      <c r="MZ248" s="48"/>
      <c r="NA248" s="48"/>
      <c r="NB248" s="48"/>
      <c r="NC248" s="48"/>
      <c r="ND248" s="48"/>
      <c r="NE248" s="48"/>
      <c r="NF248" s="48"/>
      <c r="NG248" s="48"/>
      <c r="NH248" s="48"/>
      <c r="NI248" s="48"/>
      <c r="NJ248" s="48"/>
      <c r="NK248" s="48"/>
      <c r="NL248" s="48"/>
      <c r="NM248" s="48"/>
      <c r="NN248" s="48"/>
      <c r="NO248" s="48"/>
      <c r="NP248" s="48"/>
      <c r="NQ248" s="48"/>
      <c r="NR248" s="48"/>
      <c r="NS248" s="48"/>
      <c r="NT248" s="48"/>
      <c r="NU248" s="48"/>
      <c r="NV248" s="48"/>
      <c r="NW248" s="48"/>
      <c r="NX248" s="48"/>
      <c r="NY248" s="48"/>
      <c r="NZ248" s="48"/>
      <c r="OA248" s="48"/>
      <c r="OB248" s="48"/>
      <c r="OC248" s="48"/>
      <c r="OD248" s="48"/>
      <c r="OE248" s="48"/>
      <c r="OF248" s="48"/>
      <c r="OG248" s="48"/>
      <c r="OH248" s="48"/>
      <c r="OI248" s="48"/>
      <c r="OJ248" s="48"/>
      <c r="OK248" s="48"/>
      <c r="OL248" s="48"/>
      <c r="OM248" s="48"/>
      <c r="ON248" s="48"/>
      <c r="OO248" s="48"/>
      <c r="OP248" s="48"/>
      <c r="OQ248" s="48"/>
      <c r="OR248" s="48"/>
      <c r="OS248" s="48"/>
      <c r="OT248" s="48"/>
      <c r="OU248" s="48"/>
      <c r="OV248" s="48"/>
      <c r="OW248" s="48"/>
      <c r="OX248" s="48"/>
      <c r="OY248" s="48"/>
      <c r="OZ248" s="48"/>
      <c r="PA248" s="48"/>
      <c r="PB248" s="48"/>
      <c r="PC248" s="48"/>
      <c r="PD248" s="48"/>
      <c r="PE248" s="48"/>
      <c r="PF248" s="48"/>
      <c r="PG248" s="48"/>
      <c r="PH248" s="48"/>
      <c r="PI248" s="48"/>
      <c r="PJ248" s="48"/>
      <c r="PK248" s="48"/>
      <c r="PL248" s="48"/>
      <c r="PM248" s="48"/>
      <c r="PN248" s="48"/>
      <c r="PO248" s="48"/>
      <c r="PP248" s="48"/>
      <c r="PQ248" s="48"/>
      <c r="PR248" s="48"/>
      <c r="PS248" s="48"/>
      <c r="PT248" s="48"/>
      <c r="PU248" s="48"/>
      <c r="PV248" s="48"/>
      <c r="PW248" s="48"/>
      <c r="PX248" s="48"/>
      <c r="PY248" s="48"/>
      <c r="PZ248" s="48"/>
      <c r="QA248" s="48"/>
      <c r="QB248" s="48"/>
      <c r="QC248" s="48"/>
      <c r="QD248" s="48"/>
      <c r="QE248" s="48"/>
      <c r="QF248" s="48"/>
      <c r="QG248" s="48"/>
      <c r="QH248" s="48"/>
      <c r="QI248" s="48"/>
      <c r="QJ248" s="48"/>
      <c r="QK248" s="48"/>
      <c r="QL248" s="48"/>
      <c r="QM248" s="48"/>
      <c r="QN248" s="48"/>
      <c r="QO248" s="48"/>
      <c r="QP248" s="48"/>
      <c r="QQ248" s="48"/>
      <c r="QR248" s="48"/>
      <c r="QS248" s="48"/>
      <c r="QT248" s="48"/>
      <c r="QU248" s="48"/>
      <c r="QV248" s="48"/>
      <c r="QW248" s="48"/>
      <c r="QX248" s="48"/>
      <c r="QY248" s="48"/>
      <c r="QZ248" s="48"/>
      <c r="RA248" s="48"/>
      <c r="RB248" s="48"/>
      <c r="RC248" s="48"/>
      <c r="RD248" s="48"/>
      <c r="RE248" s="48"/>
      <c r="RF248" s="48"/>
      <c r="RG248" s="48"/>
      <c r="RH248" s="48"/>
      <c r="RI248" s="48"/>
      <c r="RJ248" s="48"/>
      <c r="RK248" s="48"/>
      <c r="RL248" s="48"/>
      <c r="RM248" s="48"/>
      <c r="RN248" s="48"/>
      <c r="RO248" s="48"/>
      <c r="RP248" s="48"/>
      <c r="RQ248" s="48"/>
      <c r="RR248" s="48"/>
      <c r="RS248" s="48"/>
      <c r="RT248" s="48"/>
      <c r="RU248" s="48"/>
      <c r="RV248" s="48"/>
      <c r="RW248" s="48"/>
      <c r="RX248" s="48"/>
      <c r="RY248" s="48"/>
      <c r="RZ248" s="48"/>
      <c r="SA248" s="48"/>
      <c r="SB248" s="48"/>
      <c r="SC248" s="48"/>
      <c r="SD248" s="48"/>
      <c r="SE248" s="48"/>
      <c r="SF248" s="48"/>
      <c r="SG248" s="48"/>
      <c r="SH248" s="48"/>
      <c r="SI248" s="48"/>
      <c r="SJ248" s="48"/>
      <c r="SK248" s="48"/>
      <c r="SL248" s="48"/>
      <c r="SM248" s="48"/>
      <c r="SN248" s="48"/>
      <c r="SO248" s="48"/>
      <c r="SP248" s="48"/>
      <c r="SQ248" s="48"/>
      <c r="SR248" s="48"/>
      <c r="SS248" s="48"/>
      <c r="ST248" s="48"/>
      <c r="SU248" s="48"/>
      <c r="SV248" s="48"/>
      <c r="SW248" s="48"/>
      <c r="SX248" s="48"/>
      <c r="SY248" s="48"/>
      <c r="SZ248" s="48"/>
      <c r="TA248" s="48"/>
      <c r="TB248" s="48"/>
      <c r="TC248" s="48"/>
      <c r="TD248" s="48"/>
      <c r="TE248" s="48"/>
      <c r="TF248" s="48"/>
      <c r="TG248" s="48"/>
      <c r="TH248" s="48"/>
      <c r="TI248" s="48"/>
      <c r="TJ248" s="48"/>
      <c r="TK248" s="48"/>
      <c r="TL248" s="48"/>
      <c r="TM248" s="48"/>
      <c r="TN248" s="48"/>
      <c r="TO248" s="48"/>
      <c r="TP248" s="48"/>
      <c r="TQ248" s="48"/>
      <c r="TR248" s="48"/>
      <c r="TS248" s="48"/>
      <c r="TT248" s="48"/>
      <c r="TU248" s="48"/>
      <c r="TV248" s="48"/>
      <c r="TW248" s="48"/>
      <c r="TX248" s="48"/>
      <c r="TY248" s="48"/>
      <c r="TZ248" s="48"/>
      <c r="UA248" s="48"/>
      <c r="UB248" s="48"/>
      <c r="UC248" s="48"/>
      <c r="UD248" s="48"/>
      <c r="UE248" s="48"/>
      <c r="UF248" s="48"/>
      <c r="UG248" s="48"/>
      <c r="UH248" s="48"/>
      <c r="UI248" s="48"/>
      <c r="UJ248" s="48"/>
      <c r="UK248" s="48"/>
      <c r="UL248" s="48"/>
      <c r="UM248" s="48"/>
      <c r="UN248" s="48"/>
      <c r="UO248" s="48"/>
      <c r="UP248" s="48"/>
      <c r="UQ248" s="48"/>
      <c r="UR248" s="48"/>
      <c r="US248" s="48"/>
      <c r="UT248" s="48"/>
      <c r="UU248" s="48"/>
      <c r="UV248" s="48"/>
      <c r="UW248" s="48"/>
      <c r="UX248" s="48"/>
      <c r="UY248" s="48"/>
      <c r="UZ248" s="48"/>
      <c r="VA248" s="48"/>
      <c r="VB248" s="48"/>
      <c r="VC248" s="48"/>
      <c r="VD248" s="48"/>
      <c r="VE248" s="48"/>
      <c r="VF248" s="48"/>
      <c r="VG248" s="48"/>
      <c r="VH248" s="48"/>
      <c r="VI248" s="48"/>
      <c r="VJ248" s="48"/>
      <c r="VK248" s="48"/>
      <c r="VL248" s="48"/>
      <c r="VM248" s="48"/>
      <c r="VN248" s="48"/>
      <c r="VO248" s="48"/>
      <c r="VP248" s="48"/>
      <c r="VQ248" s="48"/>
      <c r="VR248" s="48"/>
      <c r="VS248" s="48"/>
      <c r="VT248" s="48"/>
      <c r="VU248" s="48"/>
      <c r="VV248" s="48"/>
      <c r="VW248" s="48"/>
      <c r="VX248" s="48"/>
      <c r="VY248" s="48"/>
      <c r="VZ248" s="48"/>
      <c r="WA248" s="48"/>
      <c r="WB248" s="48"/>
      <c r="WC248" s="48"/>
      <c r="WD248" s="48"/>
      <c r="WE248" s="48"/>
      <c r="WF248" s="48"/>
      <c r="WG248" s="48"/>
      <c r="WH248" s="48"/>
      <c r="WI248" s="48"/>
      <c r="WJ248" s="48"/>
      <c r="WK248" s="48"/>
      <c r="WL248" s="48"/>
      <c r="WM248" s="48"/>
      <c r="WN248" s="48"/>
      <c r="WO248" s="48"/>
      <c r="WP248" s="48"/>
      <c r="WQ248" s="48"/>
      <c r="WR248" s="48"/>
      <c r="WS248" s="48"/>
      <c r="WT248" s="48"/>
      <c r="WU248" s="48"/>
      <c r="WV248" s="48"/>
      <c r="WW248" s="48"/>
      <c r="WX248" s="48"/>
      <c r="WY248" s="48"/>
      <c r="WZ248" s="48"/>
      <c r="XA248" s="48"/>
      <c r="XB248" s="48"/>
      <c r="XC248" s="48"/>
      <c r="XD248" s="48"/>
      <c r="XE248" s="48"/>
      <c r="XF248" s="48"/>
      <c r="XG248" s="48"/>
      <c r="XH248" s="48"/>
      <c r="XI248" s="48"/>
      <c r="XJ248" s="48"/>
      <c r="XK248" s="48"/>
      <c r="XL248" s="48"/>
      <c r="XM248" s="48"/>
      <c r="XN248" s="48"/>
      <c r="XO248" s="48"/>
      <c r="XP248" s="48"/>
      <c r="XQ248" s="48"/>
      <c r="XR248" s="48"/>
      <c r="XS248" s="48"/>
      <c r="XT248" s="48"/>
      <c r="XU248" s="48"/>
      <c r="XV248" s="48"/>
      <c r="XW248" s="48"/>
      <c r="XX248" s="48"/>
      <c r="XY248" s="48"/>
      <c r="XZ248" s="48"/>
      <c r="YA248" s="48"/>
      <c r="YB248" s="48"/>
      <c r="YC248" s="48"/>
      <c r="YD248" s="48"/>
      <c r="YE248" s="48"/>
      <c r="YF248" s="48"/>
      <c r="YG248" s="48"/>
      <c r="YH248" s="48"/>
      <c r="YI248" s="48"/>
      <c r="YJ248" s="48"/>
      <c r="YK248" s="48"/>
      <c r="YL248" s="48"/>
      <c r="YM248" s="48"/>
      <c r="YN248" s="48"/>
      <c r="YO248" s="48"/>
      <c r="YP248" s="48"/>
      <c r="YQ248" s="48"/>
      <c r="YR248" s="48"/>
      <c r="YS248" s="48"/>
      <c r="YT248" s="48"/>
      <c r="YU248" s="48"/>
      <c r="YV248" s="48"/>
      <c r="YW248" s="48"/>
      <c r="YX248" s="48"/>
      <c r="YY248" s="48"/>
      <c r="YZ248" s="48"/>
      <c r="ZA248" s="48"/>
      <c r="ZB248" s="48"/>
      <c r="ZC248" s="48"/>
      <c r="ZD248" s="48"/>
      <c r="ZE248" s="48"/>
      <c r="ZF248" s="48"/>
      <c r="ZG248" s="48"/>
      <c r="ZH248" s="48"/>
      <c r="ZI248" s="48"/>
      <c r="ZJ248" s="48"/>
      <c r="ZK248" s="48"/>
      <c r="ZL248" s="48"/>
      <c r="ZM248" s="48"/>
      <c r="ZN248" s="48"/>
      <c r="ZO248" s="48"/>
      <c r="ZP248" s="48"/>
      <c r="ZQ248" s="48"/>
      <c r="ZR248" s="48"/>
      <c r="ZS248" s="48"/>
      <c r="ZT248" s="48"/>
      <c r="ZU248" s="48"/>
      <c r="ZV248" s="48"/>
      <c r="ZW248" s="48"/>
      <c r="ZX248" s="48"/>
      <c r="ZY248" s="621"/>
      <c r="ZZ248" s="120"/>
      <c r="AAA248" s="590"/>
      <c r="AAB248"/>
      <c r="AAC248"/>
      <c r="AAD248" s="113"/>
      <c r="AAE248" s="553" t="s">
        <v>29</v>
      </c>
      <c r="AAF248" s="585" t="s">
        <v>199</v>
      </c>
      <c r="AAG248" s="113"/>
      <c r="AAH248" s="113"/>
      <c r="AAI248" s="77"/>
      <c r="AAJ248" s="90"/>
      <c r="AAK248" s="90"/>
      <c r="AAL248" s="76"/>
      <c r="AAM248" s="113"/>
      <c r="AAU248" s="44"/>
    </row>
    <row r="249" spans="1:732" s="23" customFormat="1" ht="18" customHeight="1">
      <c r="A249" s="560"/>
      <c r="B249" s="273" t="s">
        <v>15</v>
      </c>
      <c r="C249" s="711"/>
      <c r="D249" s="151" t="s">
        <v>272</v>
      </c>
      <c r="E249" s="152" t="s">
        <v>15</v>
      </c>
      <c r="F249" s="236" t="s">
        <v>2</v>
      </c>
      <c r="G249" s="153" t="s">
        <v>90</v>
      </c>
      <c r="H249" s="153" t="s">
        <v>91</v>
      </c>
      <c r="I249" s="629"/>
      <c r="J249" s="595"/>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21"/>
      <c r="ZZ249" s="120"/>
      <c r="AAA249" s="590"/>
      <c r="AAB249"/>
      <c r="AAC249"/>
      <c r="AAD249" s="113"/>
      <c r="AAE249" s="553" t="s">
        <v>276</v>
      </c>
      <c r="AAF249" s="585" t="s">
        <v>199</v>
      </c>
      <c r="AAG249" s="113"/>
      <c r="AAH249" s="113"/>
      <c r="AAI249" s="77"/>
      <c r="AAJ249" s="90"/>
      <c r="AAK249" s="90"/>
      <c r="AAL249" s="76"/>
      <c r="AAM249" s="113"/>
      <c r="AAU249" s="44"/>
    </row>
    <row r="250" spans="1:732" ht="18" customHeight="1">
      <c r="A250" s="560"/>
      <c r="B250" s="274"/>
      <c r="C250" s="712"/>
      <c r="D250" s="237"/>
      <c r="E250" s="237"/>
      <c r="F250" s="406">
        <f>NETWORKDAYS(S.BANNER.NoticeStart,S.BANNER.NoticeEnd,S.DDL_DEQClosed)</f>
        <v>93</v>
      </c>
      <c r="G250" s="254">
        <f>AAG250</f>
        <v>41369</v>
      </c>
      <c r="H250" s="665">
        <f>AAH250</f>
        <v>41505</v>
      </c>
      <c r="I250" s="629"/>
      <c r="J250" s="631"/>
      <c r="K250" s="637"/>
      <c r="L250" s="637"/>
      <c r="M250" s="637"/>
      <c r="N250" s="637"/>
      <c r="O250" s="637"/>
      <c r="P250" s="637"/>
      <c r="Q250" s="637"/>
      <c r="R250" s="637"/>
      <c r="S250" s="637"/>
      <c r="T250" s="637"/>
      <c r="U250" s="637"/>
      <c r="V250" s="637"/>
      <c r="W250" s="637"/>
      <c r="X250" s="637"/>
      <c r="Y250" s="637"/>
      <c r="Z250" s="637"/>
      <c r="AA250" s="637"/>
      <c r="AB250" s="637"/>
      <c r="AC250" s="637"/>
      <c r="AD250" s="637"/>
      <c r="AE250" s="637"/>
      <c r="AF250" s="637"/>
      <c r="AG250" s="637"/>
      <c r="AH250" s="637"/>
      <c r="AI250" s="637"/>
      <c r="AJ250" s="637"/>
      <c r="AK250" s="637"/>
      <c r="AL250" s="637"/>
      <c r="AM250" s="637"/>
      <c r="AN250" s="637"/>
      <c r="AO250" s="637"/>
      <c r="AP250" s="637"/>
      <c r="AQ250" s="637"/>
      <c r="AR250" s="637"/>
      <c r="AS250" s="637"/>
      <c r="AT250" s="637"/>
      <c r="AU250" s="637"/>
      <c r="AV250" s="637"/>
      <c r="AW250" s="637"/>
      <c r="AX250" s="637"/>
      <c r="AY250" s="637"/>
      <c r="AZ250" s="637"/>
      <c r="BA250" s="637"/>
      <c r="BB250" s="637"/>
      <c r="BC250" s="637"/>
      <c r="BD250" s="637"/>
      <c r="BE250" s="637"/>
      <c r="BF250" s="637"/>
      <c r="BG250" s="637"/>
      <c r="BH250" s="637"/>
      <c r="BI250" s="637"/>
      <c r="BJ250" s="637"/>
      <c r="BK250" s="637"/>
      <c r="BL250" s="637"/>
      <c r="BM250" s="637"/>
      <c r="BN250" s="637"/>
      <c r="BO250" s="637"/>
      <c r="BP250" s="637"/>
      <c r="BQ250" s="637"/>
      <c r="BR250" s="637"/>
      <c r="BS250" s="637"/>
      <c r="BT250" s="637"/>
      <c r="BU250" s="637"/>
      <c r="BV250" s="637"/>
      <c r="BW250" s="637"/>
      <c r="BX250" s="637"/>
      <c r="BY250" s="637"/>
      <c r="BZ250" s="637"/>
      <c r="CA250" s="637"/>
      <c r="CB250" s="637"/>
      <c r="CC250" s="637"/>
      <c r="CD250" s="637"/>
      <c r="CE250" s="637"/>
      <c r="CF250" s="637"/>
      <c r="CG250" s="637"/>
      <c r="CH250" s="637"/>
      <c r="CI250" s="637"/>
      <c r="CJ250" s="637"/>
      <c r="CK250" s="637"/>
      <c r="CL250" s="637"/>
      <c r="CM250" s="637"/>
      <c r="CN250" s="637"/>
      <c r="CO250" s="637"/>
      <c r="CP250" s="637"/>
      <c r="CQ250" s="637"/>
      <c r="CR250" s="637"/>
      <c r="CS250" s="637"/>
      <c r="CT250" s="637"/>
      <c r="CU250" s="637"/>
      <c r="CV250" s="637"/>
      <c r="CW250" s="637"/>
      <c r="CX250" s="637"/>
      <c r="CY250" s="637"/>
      <c r="CZ250" s="637"/>
      <c r="DA250" s="637"/>
      <c r="DB250" s="637"/>
      <c r="DC250" s="637"/>
      <c r="DD250" s="637"/>
      <c r="DE250" s="637"/>
      <c r="DF250" s="637"/>
      <c r="DG250" s="637"/>
      <c r="DH250" s="637"/>
      <c r="DI250" s="637"/>
      <c r="DJ250" s="637"/>
      <c r="DK250" s="637"/>
      <c r="DL250" s="637"/>
      <c r="DM250" s="637"/>
      <c r="DN250" s="637"/>
      <c r="DO250" s="637"/>
      <c r="DP250" s="637"/>
      <c r="DQ250" s="637"/>
      <c r="DR250" s="637"/>
      <c r="DS250" s="637"/>
      <c r="DT250" s="637"/>
      <c r="DU250" s="637"/>
      <c r="DV250" s="637"/>
      <c r="DW250" s="637"/>
      <c r="DX250" s="637"/>
      <c r="DY250" s="637"/>
      <c r="DZ250" s="637"/>
      <c r="EA250" s="637"/>
      <c r="EB250" s="637"/>
      <c r="EC250" s="637"/>
      <c r="ED250" s="637"/>
      <c r="EE250" s="637"/>
      <c r="EF250" s="637"/>
      <c r="EG250" s="637"/>
      <c r="EH250" s="637"/>
      <c r="EI250" s="637"/>
      <c r="EJ250" s="637"/>
      <c r="EK250" s="637"/>
      <c r="EL250" s="637"/>
      <c r="EM250" s="637"/>
      <c r="EN250" s="637"/>
      <c r="EO250" s="637"/>
      <c r="EP250" s="637"/>
      <c r="EQ250" s="637"/>
      <c r="ER250" s="637"/>
      <c r="ES250" s="637"/>
      <c r="ET250" s="637"/>
      <c r="EU250" s="637"/>
      <c r="EV250" s="637"/>
      <c r="EW250" s="637"/>
      <c r="EX250" s="637"/>
      <c r="EY250" s="637"/>
      <c r="EZ250" s="637"/>
      <c r="FA250" s="637"/>
      <c r="FB250" s="637"/>
      <c r="FC250" s="637"/>
      <c r="FD250" s="637"/>
      <c r="FE250" s="637"/>
      <c r="FF250" s="637"/>
      <c r="FG250" s="637"/>
      <c r="FH250" s="637"/>
      <c r="FI250" s="637"/>
      <c r="FJ250" s="637"/>
      <c r="FK250" s="637"/>
      <c r="FL250" s="637"/>
      <c r="FM250" s="637"/>
      <c r="FN250" s="637"/>
      <c r="FO250" s="637"/>
      <c r="FP250" s="637"/>
      <c r="FQ250" s="637"/>
      <c r="FR250" s="637"/>
      <c r="FS250" s="637"/>
      <c r="FT250" s="637"/>
      <c r="FU250" s="637"/>
      <c r="FV250" s="637"/>
      <c r="FW250" s="637"/>
      <c r="FX250" s="637"/>
      <c r="FY250" s="637"/>
      <c r="FZ250" s="637"/>
      <c r="GA250" s="637"/>
      <c r="GB250" s="637"/>
      <c r="GC250" s="637"/>
      <c r="GD250" s="637"/>
      <c r="GE250" s="637"/>
      <c r="GF250" s="637"/>
      <c r="GG250" s="637"/>
      <c r="GH250" s="637"/>
      <c r="GI250" s="637"/>
      <c r="GJ250" s="637"/>
      <c r="GK250" s="637"/>
      <c r="GL250" s="637"/>
      <c r="GM250" s="637"/>
      <c r="GN250" s="637"/>
      <c r="GO250" s="637"/>
      <c r="GP250" s="637"/>
      <c r="GQ250" s="637"/>
      <c r="GR250" s="637"/>
      <c r="GS250" s="637"/>
      <c r="GT250" s="637"/>
      <c r="GU250" s="637"/>
      <c r="GV250" s="637"/>
      <c r="GW250" s="637"/>
      <c r="GX250" s="637"/>
      <c r="GY250" s="637"/>
      <c r="GZ250" s="637"/>
      <c r="HA250" s="637"/>
      <c r="HB250" s="637"/>
      <c r="HC250" s="637"/>
      <c r="HD250" s="637"/>
      <c r="HE250" s="637"/>
      <c r="HF250" s="637"/>
      <c r="HG250" s="637"/>
      <c r="HH250" s="637"/>
      <c r="HI250" s="637"/>
      <c r="HJ250" s="637"/>
      <c r="HK250" s="637"/>
      <c r="HL250" s="637"/>
      <c r="HM250" s="637"/>
      <c r="HN250" s="637"/>
      <c r="HO250" s="637"/>
      <c r="HP250" s="637"/>
      <c r="HQ250" s="637"/>
      <c r="HR250" s="637"/>
      <c r="HS250" s="637"/>
      <c r="HT250" s="637"/>
      <c r="HU250" s="637"/>
      <c r="HV250" s="637"/>
      <c r="HW250" s="637"/>
      <c r="HX250" s="637"/>
      <c r="HY250" s="637"/>
      <c r="HZ250" s="637"/>
      <c r="IA250" s="637"/>
      <c r="IB250" s="637"/>
      <c r="IC250" s="637"/>
      <c r="ID250" s="637"/>
      <c r="IE250" s="637"/>
      <c r="IF250" s="637"/>
      <c r="IG250" s="637"/>
      <c r="IH250" s="637"/>
      <c r="II250" s="637"/>
      <c r="IJ250" s="637"/>
      <c r="IK250" s="637"/>
      <c r="IL250" s="637"/>
      <c r="IM250" s="637"/>
      <c r="IN250" s="637"/>
      <c r="IO250" s="637"/>
      <c r="IP250" s="637"/>
      <c r="IQ250" s="637"/>
      <c r="IR250" s="637"/>
      <c r="IS250" s="637"/>
      <c r="IT250" s="637"/>
      <c r="IU250" s="637"/>
      <c r="IV250" s="637"/>
      <c r="IW250" s="637"/>
      <c r="IX250" s="637"/>
      <c r="IY250" s="637"/>
      <c r="IZ250" s="637"/>
      <c r="JA250" s="637"/>
      <c r="JB250" s="637"/>
      <c r="JC250" s="637"/>
      <c r="JD250" s="637"/>
      <c r="JE250" s="637"/>
      <c r="JF250" s="637"/>
      <c r="JG250" s="637"/>
      <c r="JH250" s="637"/>
      <c r="JI250" s="637"/>
      <c r="JJ250" s="637"/>
      <c r="JK250" s="637"/>
      <c r="JL250" s="637"/>
      <c r="JM250" s="637"/>
      <c r="JN250" s="637"/>
      <c r="JO250" s="637"/>
      <c r="JP250" s="637"/>
      <c r="JQ250" s="637"/>
      <c r="JR250" s="637"/>
      <c r="JS250" s="637"/>
      <c r="JT250" s="637"/>
      <c r="JU250" s="637"/>
      <c r="JV250" s="637"/>
      <c r="JW250" s="637"/>
      <c r="JX250" s="637"/>
      <c r="JY250" s="637"/>
      <c r="JZ250" s="637"/>
      <c r="KA250" s="637"/>
      <c r="KB250" s="637"/>
      <c r="KC250" s="637"/>
      <c r="KD250" s="637"/>
      <c r="KE250" s="637"/>
      <c r="KF250" s="637"/>
      <c r="KG250" s="637"/>
      <c r="KH250" s="637"/>
      <c r="KI250" s="637"/>
      <c r="KJ250" s="637"/>
      <c r="KK250" s="637"/>
      <c r="KL250" s="637"/>
      <c r="KM250" s="637"/>
      <c r="KN250" s="637"/>
      <c r="KO250" s="637"/>
      <c r="KP250" s="637"/>
      <c r="KQ250" s="637"/>
      <c r="KR250" s="637"/>
      <c r="KS250" s="637"/>
      <c r="KT250" s="637"/>
      <c r="KU250" s="637"/>
      <c r="KV250" s="637"/>
      <c r="KW250" s="637"/>
      <c r="KX250" s="637"/>
      <c r="KY250" s="637"/>
      <c r="KZ250" s="637"/>
      <c r="LA250" s="637"/>
      <c r="LB250" s="637"/>
      <c r="LC250" s="637"/>
      <c r="LD250" s="637"/>
      <c r="LE250" s="637"/>
      <c r="LF250" s="637"/>
      <c r="LG250" s="637"/>
      <c r="LH250" s="637"/>
      <c r="LI250" s="637"/>
      <c r="LJ250" s="637"/>
      <c r="LK250" s="637"/>
      <c r="LL250" s="637"/>
      <c r="LM250" s="637"/>
      <c r="LN250" s="637"/>
      <c r="LO250" s="637"/>
      <c r="LP250" s="637"/>
      <c r="LQ250" s="637"/>
      <c r="LR250" s="637"/>
      <c r="LS250" s="637"/>
      <c r="LT250" s="637"/>
      <c r="LU250" s="637"/>
      <c r="LV250" s="637"/>
      <c r="LW250" s="637"/>
      <c r="LX250" s="637"/>
      <c r="LY250" s="637"/>
      <c r="LZ250" s="637"/>
      <c r="MA250" s="637"/>
      <c r="MB250" s="637"/>
      <c r="MC250" s="637"/>
      <c r="MD250" s="637"/>
      <c r="ME250" s="637"/>
      <c r="MF250" s="637"/>
      <c r="MG250" s="637"/>
      <c r="MH250" s="637"/>
      <c r="MI250" s="637"/>
      <c r="MJ250" s="637"/>
      <c r="MK250" s="637"/>
      <c r="ML250" s="637"/>
      <c r="MM250" s="637"/>
      <c r="MN250" s="637"/>
      <c r="MO250" s="637"/>
      <c r="MP250" s="637"/>
      <c r="MQ250" s="637"/>
      <c r="MR250" s="637"/>
      <c r="MS250" s="637"/>
      <c r="MT250" s="637"/>
      <c r="MU250" s="637"/>
      <c r="MV250" s="637"/>
      <c r="MW250" s="637"/>
      <c r="MX250" s="637"/>
      <c r="MY250" s="637"/>
      <c r="MZ250" s="637"/>
      <c r="NA250" s="637"/>
      <c r="NB250" s="637"/>
      <c r="NC250" s="637"/>
      <c r="ND250" s="637"/>
      <c r="NE250" s="637"/>
      <c r="NF250" s="637"/>
      <c r="NG250" s="637"/>
      <c r="NH250" s="637"/>
      <c r="NI250" s="637"/>
      <c r="NJ250" s="637"/>
      <c r="NK250" s="637"/>
      <c r="NL250" s="637"/>
      <c r="NM250" s="637"/>
      <c r="NN250" s="637"/>
      <c r="NO250" s="637"/>
      <c r="NP250" s="637"/>
      <c r="NQ250" s="637"/>
      <c r="NR250" s="637"/>
      <c r="NS250" s="637"/>
      <c r="NT250" s="637"/>
      <c r="NU250" s="637"/>
      <c r="NV250" s="637"/>
      <c r="NW250" s="637"/>
      <c r="NX250" s="637"/>
      <c r="NY250" s="637"/>
      <c r="NZ250" s="637"/>
      <c r="OA250" s="637"/>
      <c r="OB250" s="637"/>
      <c r="OC250" s="637"/>
      <c r="OD250" s="637"/>
      <c r="OE250" s="637"/>
      <c r="OF250" s="637"/>
      <c r="OG250" s="637"/>
      <c r="OH250" s="637"/>
      <c r="OI250" s="637"/>
      <c r="OJ250" s="637"/>
      <c r="OK250" s="637"/>
      <c r="OL250" s="637"/>
      <c r="OM250" s="637"/>
      <c r="ON250" s="637"/>
      <c r="OO250" s="637"/>
      <c r="OP250" s="637"/>
      <c r="OQ250" s="637"/>
      <c r="OR250" s="637"/>
      <c r="OS250" s="637"/>
      <c r="OT250" s="637"/>
      <c r="OU250" s="637"/>
      <c r="OV250" s="637"/>
      <c r="OW250" s="637"/>
      <c r="OX250" s="637"/>
      <c r="OY250" s="637"/>
      <c r="OZ250" s="637"/>
      <c r="PA250" s="637"/>
      <c r="PB250" s="637"/>
      <c r="PC250" s="637"/>
      <c r="PD250" s="637"/>
      <c r="PE250" s="637"/>
      <c r="PF250" s="637"/>
      <c r="PG250" s="637"/>
      <c r="PH250" s="637"/>
      <c r="PI250" s="637"/>
      <c r="PJ250" s="637"/>
      <c r="PK250" s="637"/>
      <c r="PL250" s="637"/>
      <c r="PM250" s="637"/>
      <c r="PN250" s="637"/>
      <c r="PO250" s="637"/>
      <c r="PP250" s="637"/>
      <c r="PQ250" s="637"/>
      <c r="PR250" s="637"/>
      <c r="PS250" s="637"/>
      <c r="PT250" s="637"/>
      <c r="PU250" s="637"/>
      <c r="PV250" s="637"/>
      <c r="PW250" s="637"/>
      <c r="PX250" s="637"/>
      <c r="PY250" s="637"/>
      <c r="PZ250" s="637"/>
      <c r="QA250" s="637"/>
      <c r="QB250" s="637"/>
      <c r="QC250" s="637"/>
      <c r="QD250" s="637"/>
      <c r="QE250" s="637"/>
      <c r="QF250" s="637"/>
      <c r="QG250" s="637"/>
      <c r="QH250" s="637"/>
      <c r="QI250" s="637"/>
      <c r="QJ250" s="637"/>
      <c r="QK250" s="637"/>
      <c r="QL250" s="637"/>
      <c r="QM250" s="637"/>
      <c r="QN250" s="637"/>
      <c r="QO250" s="637"/>
      <c r="QP250" s="637"/>
      <c r="QQ250" s="637"/>
      <c r="QR250" s="637"/>
      <c r="QS250" s="637"/>
      <c r="QT250" s="637"/>
      <c r="QU250" s="637"/>
      <c r="QV250" s="637"/>
      <c r="QW250" s="637"/>
      <c r="QX250" s="637"/>
      <c r="QY250" s="637"/>
      <c r="QZ250" s="637"/>
      <c r="RA250" s="637"/>
      <c r="RB250" s="637"/>
      <c r="RC250" s="637"/>
      <c r="RD250" s="637"/>
      <c r="RE250" s="637"/>
      <c r="RF250" s="637"/>
      <c r="RG250" s="637"/>
      <c r="RH250" s="637"/>
      <c r="RI250" s="637"/>
      <c r="RJ250" s="637"/>
      <c r="RK250" s="637"/>
      <c r="RL250" s="637"/>
      <c r="RM250" s="637"/>
      <c r="RN250" s="637"/>
      <c r="RO250" s="637"/>
      <c r="RP250" s="637"/>
      <c r="RQ250" s="637"/>
      <c r="RR250" s="637"/>
      <c r="RS250" s="637"/>
      <c r="RT250" s="637"/>
      <c r="RU250" s="637"/>
      <c r="RV250" s="637"/>
      <c r="RW250" s="637"/>
      <c r="RX250" s="637"/>
      <c r="RY250" s="637"/>
      <c r="RZ250" s="637"/>
      <c r="SA250" s="637"/>
      <c r="SB250" s="637"/>
      <c r="SC250" s="637"/>
      <c r="SD250" s="637"/>
      <c r="SE250" s="637"/>
      <c r="SF250" s="637"/>
      <c r="SG250" s="637"/>
      <c r="SH250" s="637"/>
      <c r="SI250" s="637"/>
      <c r="SJ250" s="637"/>
      <c r="SK250" s="637"/>
      <c r="SL250" s="637"/>
      <c r="SM250" s="637"/>
      <c r="SN250" s="637"/>
      <c r="SO250" s="637"/>
      <c r="SP250" s="637"/>
      <c r="SQ250" s="637"/>
      <c r="SR250" s="637"/>
      <c r="SS250" s="637"/>
      <c r="ST250" s="637"/>
      <c r="SU250" s="637"/>
      <c r="SV250" s="637"/>
      <c r="SW250" s="637"/>
      <c r="SX250" s="637"/>
      <c r="SY250" s="637"/>
      <c r="SZ250" s="637"/>
      <c r="TA250" s="637"/>
      <c r="TB250" s="637"/>
      <c r="TC250" s="637"/>
      <c r="TD250" s="637"/>
      <c r="TE250" s="637"/>
      <c r="TF250" s="637"/>
      <c r="TG250" s="637"/>
      <c r="TH250" s="637"/>
      <c r="TI250" s="637"/>
      <c r="TJ250" s="637"/>
      <c r="TK250" s="637"/>
      <c r="TL250" s="637"/>
      <c r="TM250" s="637"/>
      <c r="TN250" s="637"/>
      <c r="TO250" s="637"/>
      <c r="TP250" s="637"/>
      <c r="TQ250" s="637"/>
      <c r="TR250" s="637"/>
      <c r="TS250" s="637"/>
      <c r="TT250" s="637"/>
      <c r="TU250" s="637"/>
      <c r="TV250" s="637"/>
      <c r="TW250" s="637"/>
      <c r="TX250" s="637"/>
      <c r="TY250" s="637"/>
      <c r="TZ250" s="637"/>
      <c r="UA250" s="637"/>
      <c r="UB250" s="637"/>
      <c r="UC250" s="637"/>
      <c r="UD250" s="637"/>
      <c r="UE250" s="637"/>
      <c r="UF250" s="637"/>
      <c r="UG250" s="637"/>
      <c r="UH250" s="637"/>
      <c r="UI250" s="637"/>
      <c r="UJ250" s="637"/>
      <c r="UK250" s="637"/>
      <c r="UL250" s="637"/>
      <c r="UM250" s="637"/>
      <c r="UN250" s="637"/>
      <c r="UO250" s="637"/>
      <c r="UP250" s="637"/>
      <c r="UQ250" s="637"/>
      <c r="UR250" s="637"/>
      <c r="US250" s="637"/>
      <c r="UT250" s="637"/>
      <c r="UU250" s="637"/>
      <c r="UV250" s="637"/>
      <c r="UW250" s="637"/>
      <c r="UX250" s="637"/>
      <c r="UY250" s="637"/>
      <c r="UZ250" s="637"/>
      <c r="VA250" s="637"/>
      <c r="VB250" s="637"/>
      <c r="VC250" s="637"/>
      <c r="VD250" s="637"/>
      <c r="VE250" s="637"/>
      <c r="VF250" s="637"/>
      <c r="VG250" s="637"/>
      <c r="VH250" s="637"/>
      <c r="VI250" s="637"/>
      <c r="VJ250" s="637"/>
      <c r="VK250" s="637"/>
      <c r="VL250" s="637"/>
      <c r="VM250" s="637"/>
      <c r="VN250" s="637"/>
      <c r="VO250" s="637"/>
      <c r="VP250" s="637"/>
      <c r="VQ250" s="637"/>
      <c r="VR250" s="637"/>
      <c r="VS250" s="637"/>
      <c r="VT250" s="637"/>
      <c r="VU250" s="637"/>
      <c r="VV250" s="637"/>
      <c r="VW250" s="637"/>
      <c r="VX250" s="637"/>
      <c r="VY250" s="637"/>
      <c r="VZ250" s="637"/>
      <c r="WA250" s="637"/>
      <c r="WB250" s="637"/>
      <c r="WC250" s="637"/>
      <c r="WD250" s="637"/>
      <c r="WE250" s="637"/>
      <c r="WF250" s="637"/>
      <c r="WG250" s="637"/>
      <c r="WH250" s="637"/>
      <c r="WI250" s="637"/>
      <c r="WJ250" s="637"/>
      <c r="WK250" s="637"/>
      <c r="WL250" s="637"/>
      <c r="WM250" s="637"/>
      <c r="WN250" s="637"/>
      <c r="WO250" s="637"/>
      <c r="WP250" s="637"/>
      <c r="WQ250" s="637"/>
      <c r="WR250" s="637"/>
      <c r="WS250" s="637"/>
      <c r="WT250" s="637"/>
      <c r="WU250" s="637"/>
      <c r="WV250" s="637"/>
      <c r="WW250" s="637"/>
      <c r="WX250" s="637"/>
      <c r="WY250" s="637"/>
      <c r="WZ250" s="637"/>
      <c r="XA250" s="637"/>
      <c r="XB250" s="637"/>
      <c r="XC250" s="637"/>
      <c r="XD250" s="637"/>
      <c r="XE250" s="637"/>
      <c r="XF250" s="637"/>
      <c r="XG250" s="637"/>
      <c r="XH250" s="637"/>
      <c r="XI250" s="637"/>
      <c r="XJ250" s="637"/>
      <c r="XK250" s="637"/>
      <c r="XL250" s="637"/>
      <c r="XM250" s="637"/>
      <c r="XN250" s="637"/>
      <c r="XO250" s="637"/>
      <c r="XP250" s="637"/>
      <c r="XQ250" s="637"/>
      <c r="XR250" s="637"/>
      <c r="XS250" s="637"/>
      <c r="XT250" s="637"/>
      <c r="XU250" s="637"/>
      <c r="XV250" s="637"/>
      <c r="XW250" s="637"/>
      <c r="XX250" s="637"/>
      <c r="XY250" s="637"/>
      <c r="XZ250" s="637"/>
      <c r="YA250" s="637"/>
      <c r="YB250" s="637"/>
      <c r="YC250" s="637"/>
      <c r="YD250" s="637"/>
      <c r="YE250" s="637"/>
      <c r="YF250" s="637"/>
      <c r="YG250" s="637"/>
      <c r="YH250" s="637"/>
      <c r="YI250" s="637"/>
      <c r="YJ250" s="637"/>
      <c r="YK250" s="637"/>
      <c r="YL250" s="637"/>
      <c r="YM250" s="637"/>
      <c r="YN250" s="637"/>
      <c r="YO250" s="637"/>
      <c r="YP250" s="637"/>
      <c r="YQ250" s="637"/>
      <c r="YR250" s="637"/>
      <c r="YS250" s="637"/>
      <c r="YT250" s="637"/>
      <c r="YU250" s="637"/>
      <c r="YV250" s="637"/>
      <c r="YW250" s="637"/>
      <c r="YX250" s="637"/>
      <c r="YY250" s="637"/>
      <c r="YZ250" s="637"/>
      <c r="ZA250" s="637"/>
      <c r="ZB250" s="637"/>
      <c r="ZC250" s="637"/>
      <c r="ZD250" s="637"/>
      <c r="ZE250" s="637"/>
      <c r="ZF250" s="637"/>
      <c r="ZG250" s="637"/>
      <c r="ZH250" s="637"/>
      <c r="ZI250" s="637"/>
      <c r="ZJ250" s="637"/>
      <c r="ZK250" s="637"/>
      <c r="ZL250" s="637"/>
      <c r="ZM250" s="637"/>
      <c r="ZN250" s="637"/>
      <c r="ZO250" s="637"/>
      <c r="ZP250" s="637"/>
      <c r="ZQ250" s="637"/>
      <c r="ZR250" s="637"/>
      <c r="ZS250" s="637"/>
      <c r="ZT250" s="637"/>
      <c r="ZU250" s="637"/>
      <c r="ZV250" s="637"/>
      <c r="ZW250" s="637"/>
      <c r="ZX250" s="637"/>
      <c r="ZY250" s="640"/>
      <c r="ZZ250" s="120"/>
      <c r="AAA250" s="590"/>
      <c r="AAD250" s="113"/>
      <c r="AAE250" s="553" t="s">
        <v>276</v>
      </c>
      <c r="AAF250" s="585" t="s">
        <v>199</v>
      </c>
      <c r="AAG250" s="78">
        <f>S.BANNER.PlanningStart</f>
        <v>41369</v>
      </c>
      <c r="AAH250" s="78">
        <f>S.CloseComment</f>
        <v>41505</v>
      </c>
      <c r="AAI250" s="77"/>
      <c r="AAJ250" s="77"/>
      <c r="AAK250" s="77"/>
      <c r="AAL250" s="79"/>
      <c r="AAM250" s="113"/>
      <c r="AAN250"/>
      <c r="AAT250" s="23"/>
      <c r="AAU250" s="44"/>
      <c r="AAV250" s="23"/>
      <c r="AAW250" s="23"/>
      <c r="AAX250" s="23"/>
      <c r="AAY250" s="23"/>
      <c r="AAZ250" s="23"/>
      <c r="ABA250" s="23"/>
      <c r="ABB250" s="23"/>
      <c r="ABC250" s="23"/>
      <c r="ABD250" s="23"/>
    </row>
    <row r="251" spans="1:732" ht="6" customHeight="1">
      <c r="A251" s="560">
        <v>111</v>
      </c>
      <c r="B251" s="276"/>
      <c r="C251" s="696"/>
      <c r="D251" s="181"/>
      <c r="E251" s="182"/>
      <c r="F251" s="182"/>
      <c r="G251" s="181"/>
      <c r="H251" s="181"/>
      <c r="I251" s="590"/>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c r="JD251" s="32"/>
      <c r="JE251" s="32"/>
      <c r="JF251" s="32"/>
      <c r="JG251" s="32"/>
      <c r="JH251" s="32"/>
      <c r="JI251" s="32"/>
      <c r="JJ251" s="32"/>
      <c r="JK251" s="32"/>
      <c r="JL251" s="32"/>
      <c r="JM251" s="32"/>
      <c r="JN251" s="32"/>
      <c r="JO251" s="32"/>
      <c r="JP251" s="32"/>
      <c r="JQ251" s="32"/>
      <c r="JR251" s="32"/>
      <c r="JS251" s="32"/>
      <c r="JT251" s="32"/>
      <c r="JU251" s="32"/>
      <c r="JV251" s="32"/>
      <c r="JW251" s="32"/>
      <c r="JX251" s="32"/>
      <c r="JY251" s="32"/>
      <c r="JZ251" s="32"/>
      <c r="KA251" s="32"/>
      <c r="KB251" s="32"/>
      <c r="KC251" s="32"/>
      <c r="KD251" s="32"/>
      <c r="KE251" s="32"/>
      <c r="KF251" s="32"/>
      <c r="KG251" s="32"/>
      <c r="KH251" s="32"/>
      <c r="KI251" s="32"/>
      <c r="KJ251" s="32"/>
      <c r="KK251" s="32"/>
      <c r="KL251" s="32"/>
      <c r="KM251" s="32"/>
      <c r="KN251" s="32"/>
      <c r="KO251" s="32"/>
      <c r="KP251" s="32"/>
      <c r="KQ251" s="32"/>
      <c r="KR251" s="32"/>
      <c r="KS251" s="32"/>
      <c r="KT251" s="32"/>
      <c r="KU251" s="32"/>
      <c r="KV251" s="32"/>
      <c r="KW251" s="32"/>
      <c r="KX251" s="32"/>
      <c r="KY251" s="32"/>
      <c r="KZ251" s="32"/>
      <c r="LA251" s="32"/>
      <c r="LB251" s="32"/>
      <c r="LC251" s="32"/>
      <c r="LD251" s="32"/>
      <c r="LE251" s="32"/>
      <c r="LF251" s="32"/>
      <c r="LG251" s="32"/>
      <c r="LH251" s="32"/>
      <c r="LI251" s="32"/>
      <c r="LJ251" s="32"/>
      <c r="LK251" s="32"/>
      <c r="LL251" s="32"/>
      <c r="LM251" s="32"/>
      <c r="LN251" s="32"/>
      <c r="LO251" s="32"/>
      <c r="LP251" s="32"/>
      <c r="LQ251" s="32"/>
      <c r="LR251" s="32"/>
      <c r="LS251" s="32"/>
      <c r="LT251" s="32"/>
      <c r="LU251" s="32"/>
      <c r="LV251" s="32"/>
      <c r="LW251" s="32"/>
      <c r="LX251" s="32"/>
      <c r="LY251" s="32"/>
      <c r="LZ251" s="32"/>
      <c r="MA251" s="32"/>
      <c r="MB251" s="32"/>
      <c r="MC251" s="32"/>
      <c r="MD251" s="32"/>
      <c r="ME251" s="32"/>
      <c r="MF251" s="32"/>
      <c r="MG251" s="32"/>
      <c r="MH251" s="32"/>
      <c r="MI251" s="32"/>
      <c r="MJ251" s="32"/>
      <c r="MK251" s="32"/>
      <c r="ML251" s="32"/>
      <c r="MM251" s="32"/>
      <c r="MN251" s="32"/>
      <c r="MO251" s="32"/>
      <c r="MP251" s="32"/>
      <c r="MQ251" s="32"/>
      <c r="MR251" s="32"/>
      <c r="MS251" s="32"/>
      <c r="MT251" s="32"/>
      <c r="MU251" s="32"/>
      <c r="MV251" s="32"/>
      <c r="MW251" s="32"/>
      <c r="MX251" s="32"/>
      <c r="MY251" s="32"/>
      <c r="MZ251" s="32"/>
      <c r="NA251" s="32"/>
      <c r="NB251" s="32"/>
      <c r="NC251" s="32"/>
      <c r="ND251" s="32"/>
      <c r="NE251" s="32"/>
      <c r="NF251" s="32"/>
      <c r="NG251" s="32"/>
      <c r="NH251" s="32"/>
      <c r="NI251" s="32"/>
      <c r="NJ251" s="32"/>
      <c r="NK251" s="32"/>
      <c r="NL251" s="32"/>
      <c r="NM251" s="32"/>
      <c r="NN251" s="32"/>
      <c r="NO251" s="32"/>
      <c r="NP251" s="32"/>
      <c r="NQ251" s="32"/>
      <c r="NR251" s="32"/>
      <c r="NS251" s="32"/>
      <c r="NT251" s="32"/>
      <c r="NU251" s="32"/>
      <c r="NV251" s="32"/>
      <c r="NW251" s="32"/>
      <c r="NX251" s="32"/>
      <c r="NY251" s="32"/>
      <c r="NZ251" s="32"/>
      <c r="OA251" s="32"/>
      <c r="OB251" s="32"/>
      <c r="OC251" s="32"/>
      <c r="OD251" s="32"/>
      <c r="OE251" s="32"/>
      <c r="OF251" s="32"/>
      <c r="OG251" s="32"/>
      <c r="OH251" s="32"/>
      <c r="OI251" s="32"/>
      <c r="OJ251" s="32"/>
      <c r="OK251" s="32"/>
      <c r="OL251" s="32"/>
      <c r="OM251" s="32"/>
      <c r="ON251" s="32"/>
      <c r="OO251" s="32"/>
      <c r="OP251" s="32"/>
      <c r="OQ251" s="32"/>
      <c r="OR251" s="32"/>
      <c r="OS251" s="32"/>
      <c r="OT251" s="32"/>
      <c r="OU251" s="32"/>
      <c r="OV251" s="32"/>
      <c r="OW251" s="32"/>
      <c r="OX251" s="32"/>
      <c r="OY251" s="32"/>
      <c r="OZ251" s="32"/>
      <c r="PA251" s="32"/>
      <c r="PB251" s="32"/>
      <c r="PC251" s="32"/>
      <c r="PD251" s="32"/>
      <c r="PE251" s="32"/>
      <c r="PF251" s="32"/>
      <c r="PG251" s="32"/>
      <c r="PH251" s="32"/>
      <c r="PI251" s="32"/>
      <c r="PJ251" s="32"/>
      <c r="PK251" s="32"/>
      <c r="PL251" s="32"/>
      <c r="PM251" s="32"/>
      <c r="PN251" s="32"/>
      <c r="PO251" s="32"/>
      <c r="PP251" s="32"/>
      <c r="PQ251" s="32"/>
      <c r="PR251" s="32"/>
      <c r="PS251" s="32"/>
      <c r="PT251" s="32"/>
      <c r="PU251" s="32"/>
      <c r="PV251" s="32"/>
      <c r="PW251" s="32"/>
      <c r="PX251" s="32"/>
      <c r="PY251" s="32"/>
      <c r="PZ251" s="32"/>
      <c r="QA251" s="32"/>
      <c r="QB251" s="32"/>
      <c r="QC251" s="32"/>
      <c r="QD251" s="32"/>
      <c r="QE251" s="32"/>
      <c r="QF251" s="32"/>
      <c r="QG251" s="32"/>
      <c r="QH251" s="32"/>
      <c r="QI251" s="32"/>
      <c r="QJ251" s="32"/>
      <c r="QK251" s="32"/>
      <c r="QL251" s="32"/>
      <c r="QM251" s="32"/>
      <c r="QN251" s="32"/>
      <c r="QO251" s="32"/>
      <c r="QP251" s="32"/>
      <c r="QQ251" s="32"/>
      <c r="QR251" s="32"/>
      <c r="QS251" s="32"/>
      <c r="QT251" s="32"/>
      <c r="QU251" s="32"/>
      <c r="QV251" s="32"/>
      <c r="QW251" s="32"/>
      <c r="QX251" s="32"/>
      <c r="QY251" s="32"/>
      <c r="QZ251" s="32"/>
      <c r="RA251" s="32"/>
      <c r="RB251" s="32"/>
      <c r="RC251" s="32"/>
      <c r="RD251" s="32"/>
      <c r="RE251" s="32"/>
      <c r="RF251" s="32"/>
      <c r="RG251" s="32"/>
      <c r="RH251" s="32"/>
      <c r="RI251" s="32"/>
      <c r="RJ251" s="32"/>
      <c r="RK251" s="32"/>
      <c r="RL251" s="32"/>
      <c r="RM251" s="32"/>
      <c r="RN251" s="32"/>
      <c r="RO251" s="32"/>
      <c r="RP251" s="32"/>
      <c r="RQ251" s="32"/>
      <c r="RR251" s="32"/>
      <c r="RS251" s="32"/>
      <c r="RT251" s="32"/>
      <c r="RU251" s="32"/>
      <c r="RV251" s="32"/>
      <c r="RW251" s="32"/>
      <c r="RX251" s="32"/>
      <c r="RY251" s="32"/>
      <c r="RZ251" s="32"/>
      <c r="SA251" s="32"/>
      <c r="SB251" s="32"/>
      <c r="SC251" s="32"/>
      <c r="SD251" s="32"/>
      <c r="SE251" s="32"/>
      <c r="SF251" s="32"/>
      <c r="SG251" s="32"/>
      <c r="SH251" s="32"/>
      <c r="SI251" s="32"/>
      <c r="SJ251" s="32"/>
      <c r="SK251" s="32"/>
      <c r="SL251" s="32"/>
      <c r="SM251" s="32"/>
      <c r="SN251" s="32"/>
      <c r="SO251" s="32"/>
      <c r="SP251" s="32"/>
      <c r="SQ251" s="32"/>
      <c r="SR251" s="32"/>
      <c r="SS251" s="32"/>
      <c r="ST251" s="32"/>
      <c r="SU251" s="32"/>
      <c r="SV251" s="32"/>
      <c r="SW251" s="32"/>
      <c r="SX251" s="32"/>
      <c r="SY251" s="32"/>
      <c r="SZ251" s="32"/>
      <c r="TA251" s="32"/>
      <c r="TB251" s="32"/>
      <c r="TC251" s="32"/>
      <c r="TD251" s="32"/>
      <c r="TE251" s="32"/>
      <c r="TF251" s="32"/>
      <c r="TG251" s="32"/>
      <c r="TH251" s="32"/>
      <c r="TI251" s="32"/>
      <c r="TJ251" s="32"/>
      <c r="TK251" s="32"/>
      <c r="TL251" s="32"/>
      <c r="TM251" s="32"/>
      <c r="TN251" s="32"/>
      <c r="TO251" s="32"/>
      <c r="TP251" s="32"/>
      <c r="TQ251" s="32"/>
      <c r="TR251" s="32"/>
      <c r="TS251" s="32"/>
      <c r="TT251" s="32"/>
      <c r="TU251" s="32"/>
      <c r="TV251" s="32"/>
      <c r="TW251" s="32"/>
      <c r="TX251" s="32"/>
      <c r="TY251" s="32"/>
      <c r="TZ251" s="32"/>
      <c r="UA251" s="32"/>
      <c r="UB251" s="32"/>
      <c r="UC251" s="32"/>
      <c r="UD251" s="32"/>
      <c r="UE251" s="32"/>
      <c r="UF251" s="32"/>
      <c r="UG251" s="32"/>
      <c r="UH251" s="32"/>
      <c r="UI251" s="32"/>
      <c r="UJ251" s="32"/>
      <c r="UK251" s="32"/>
      <c r="UL251" s="32"/>
      <c r="UM251" s="32"/>
      <c r="UN251" s="32"/>
      <c r="UO251" s="32"/>
      <c r="UP251" s="32"/>
      <c r="UQ251" s="32"/>
      <c r="UR251" s="32"/>
      <c r="US251" s="32"/>
      <c r="UT251" s="32"/>
      <c r="UU251" s="32"/>
      <c r="UV251" s="32"/>
      <c r="UW251" s="32"/>
      <c r="UX251" s="32"/>
      <c r="UY251" s="32"/>
      <c r="UZ251" s="32"/>
      <c r="VA251" s="32"/>
      <c r="VB251" s="32"/>
      <c r="VC251" s="32"/>
      <c r="VD251" s="32"/>
      <c r="VE251" s="32"/>
      <c r="VF251" s="32"/>
      <c r="VG251" s="32"/>
      <c r="VH251" s="32"/>
      <c r="VI251" s="32"/>
      <c r="VJ251" s="32"/>
      <c r="VK251" s="32"/>
      <c r="VL251" s="32"/>
      <c r="VM251" s="32"/>
      <c r="VN251" s="32"/>
      <c r="VO251" s="32"/>
      <c r="VP251" s="32"/>
      <c r="VQ251" s="32"/>
      <c r="VR251" s="32"/>
      <c r="VS251" s="32"/>
      <c r="VT251" s="32"/>
      <c r="VU251" s="32"/>
      <c r="VV251" s="32"/>
      <c r="VW251" s="32"/>
      <c r="VX251" s="32"/>
      <c r="VY251" s="32"/>
      <c r="VZ251" s="32"/>
      <c r="WA251" s="32"/>
      <c r="WB251" s="32"/>
      <c r="WC251" s="32"/>
      <c r="WD251" s="32"/>
      <c r="WE251" s="32"/>
      <c r="WF251" s="32"/>
      <c r="WG251" s="32"/>
      <c r="WH251" s="32"/>
      <c r="WI251" s="32"/>
      <c r="WJ251" s="32"/>
      <c r="WK251" s="32"/>
      <c r="WL251" s="32"/>
      <c r="WM251" s="32"/>
      <c r="WN251" s="32"/>
      <c r="WO251" s="32"/>
      <c r="WP251" s="32"/>
      <c r="WQ251" s="32"/>
      <c r="WR251" s="32"/>
      <c r="WS251" s="32"/>
      <c r="WT251" s="32"/>
      <c r="WU251" s="32"/>
      <c r="WV251" s="32"/>
      <c r="WW251" s="32"/>
      <c r="WX251" s="32"/>
      <c r="WY251" s="32"/>
      <c r="WZ251" s="32"/>
      <c r="XA251" s="32"/>
      <c r="XB251" s="32"/>
      <c r="XC251" s="32"/>
      <c r="XD251" s="32"/>
      <c r="XE251" s="32"/>
      <c r="XF251" s="32"/>
      <c r="XG251" s="32"/>
      <c r="XH251" s="32"/>
      <c r="XI251" s="32"/>
      <c r="XJ251" s="32"/>
      <c r="XK251" s="32"/>
      <c r="XL251" s="32"/>
      <c r="XM251" s="32"/>
      <c r="XN251" s="32"/>
      <c r="XO251" s="32"/>
      <c r="XP251" s="32"/>
      <c r="XQ251" s="32"/>
      <c r="XR251" s="32"/>
      <c r="XS251" s="32"/>
      <c r="XT251" s="32"/>
      <c r="XU251" s="32"/>
      <c r="XV251" s="32"/>
      <c r="XW251" s="32"/>
      <c r="XX251" s="32"/>
      <c r="XY251" s="32"/>
      <c r="XZ251" s="32"/>
      <c r="YA251" s="32"/>
      <c r="YB251" s="32"/>
      <c r="YC251" s="32"/>
      <c r="YD251" s="32"/>
      <c r="YE251" s="32"/>
      <c r="YF251" s="32"/>
      <c r="YG251" s="32"/>
      <c r="YH251" s="32"/>
      <c r="YI251" s="32"/>
      <c r="YJ251" s="32"/>
      <c r="YK251" s="32"/>
      <c r="YL251" s="32"/>
      <c r="YM251" s="32"/>
      <c r="YN251" s="32"/>
      <c r="YO251" s="32"/>
      <c r="YP251" s="32"/>
      <c r="YQ251" s="32"/>
      <c r="YR251" s="32"/>
      <c r="YS251" s="32"/>
      <c r="YT251" s="32"/>
      <c r="YU251" s="32"/>
      <c r="YV251" s="32"/>
      <c r="YW251" s="32"/>
      <c r="YX251" s="32"/>
      <c r="YY251" s="32"/>
      <c r="YZ251" s="32"/>
      <c r="ZA251" s="32"/>
      <c r="ZB251" s="32"/>
      <c r="ZC251" s="32"/>
      <c r="ZD251" s="32"/>
      <c r="ZE251" s="32"/>
      <c r="ZF251" s="32"/>
      <c r="ZG251" s="32"/>
      <c r="ZH251" s="32"/>
      <c r="ZI251" s="32"/>
      <c r="ZJ251" s="32"/>
      <c r="ZK251" s="32"/>
      <c r="ZL251" s="32"/>
      <c r="ZM251" s="32"/>
      <c r="ZN251" s="32"/>
      <c r="ZO251" s="32"/>
      <c r="ZP251" s="32"/>
      <c r="ZQ251" s="32"/>
      <c r="ZR251" s="32"/>
      <c r="ZS251" s="32"/>
      <c r="ZT251" s="32"/>
      <c r="ZU251" s="32"/>
      <c r="ZV251" s="32"/>
      <c r="ZW251" s="32"/>
      <c r="ZX251" s="32"/>
      <c r="ZY251" s="32"/>
      <c r="ZZ251" s="32"/>
      <c r="AAA251" s="590"/>
      <c r="AAD251" s="113"/>
      <c r="AAE251" s="553" t="s">
        <v>22</v>
      </c>
      <c r="AAF251" s="585" t="s">
        <v>199</v>
      </c>
      <c r="AAG251" s="63"/>
      <c r="AAH251" s="63"/>
      <c r="AAI251" s="63"/>
      <c r="AAJ251" s="57"/>
      <c r="AAK251" s="57"/>
      <c r="AAL251" s="57"/>
      <c r="AAM251" s="113"/>
      <c r="AAN251"/>
      <c r="AAT251" s="23"/>
      <c r="AAU251" s="44"/>
      <c r="AAV251" s="23"/>
      <c r="AAW251" s="23"/>
      <c r="AAX251" s="23"/>
      <c r="AAY251" s="23"/>
      <c r="AAZ251" s="23"/>
      <c r="ABA251" s="23"/>
      <c r="ABB251" s="23"/>
      <c r="ABC251" s="23"/>
      <c r="ABD251" s="23"/>
    </row>
    <row r="252" spans="1:732" s="23" customFormat="1" ht="23.25" customHeight="1">
      <c r="A252" s="560"/>
      <c r="B252" s="277" t="str">
        <f>AAL252</f>
        <v>Enter hearing dates</v>
      </c>
      <c r="C252" s="721"/>
      <c r="D252" s="123"/>
      <c r="E252" s="123"/>
      <c r="F252" s="123"/>
      <c r="G252" s="123"/>
      <c r="H252" s="123"/>
      <c r="I252" s="590"/>
      <c r="J252" s="639"/>
      <c r="K252" s="638"/>
      <c r="L252" s="638"/>
      <c r="M252" s="638"/>
      <c r="N252" s="638"/>
      <c r="O252" s="638"/>
      <c r="P252" s="638"/>
      <c r="Q252" s="638"/>
      <c r="R252" s="638"/>
      <c r="S252" s="638"/>
      <c r="T252" s="638"/>
      <c r="U252" s="638"/>
      <c r="V252" s="638"/>
      <c r="W252" s="638"/>
      <c r="X252" s="638"/>
      <c r="Y252" s="638"/>
      <c r="Z252" s="638"/>
      <c r="AA252" s="638"/>
      <c r="AB252" s="638"/>
      <c r="AC252" s="638"/>
      <c r="AD252" s="638"/>
      <c r="AE252" s="638"/>
      <c r="AF252" s="638"/>
      <c r="AG252" s="638"/>
      <c r="AH252" s="638"/>
      <c r="AI252" s="638"/>
      <c r="AJ252" s="638"/>
      <c r="AK252" s="638"/>
      <c r="AL252" s="638"/>
      <c r="AM252" s="638"/>
      <c r="AN252" s="638"/>
      <c r="AO252" s="638"/>
      <c r="AP252" s="638"/>
      <c r="AQ252" s="638"/>
      <c r="AR252" s="638"/>
      <c r="AS252" s="638"/>
      <c r="AT252" s="638"/>
      <c r="AU252" s="638"/>
      <c r="AV252" s="638"/>
      <c r="AW252" s="638"/>
      <c r="AX252" s="638"/>
      <c r="AY252" s="638"/>
      <c r="AZ252" s="638"/>
      <c r="BA252" s="638"/>
      <c r="BB252" s="638"/>
      <c r="BC252" s="638"/>
      <c r="BD252" s="638"/>
      <c r="BE252" s="638"/>
      <c r="BF252" s="638"/>
      <c r="BG252" s="638"/>
      <c r="BH252" s="638"/>
      <c r="BI252" s="638"/>
      <c r="BJ252" s="638"/>
      <c r="BK252" s="638"/>
      <c r="BL252" s="638"/>
      <c r="BM252" s="638"/>
      <c r="BN252" s="638"/>
      <c r="BO252" s="638"/>
      <c r="BP252" s="638"/>
      <c r="BQ252" s="638"/>
      <c r="BR252" s="638"/>
      <c r="BS252" s="638"/>
      <c r="BT252" s="638"/>
      <c r="BU252" s="638"/>
      <c r="BV252" s="638"/>
      <c r="BW252" s="638"/>
      <c r="BX252" s="638"/>
      <c r="BY252" s="638"/>
      <c r="BZ252" s="638"/>
      <c r="CA252" s="638"/>
      <c r="CB252" s="638"/>
      <c r="CC252" s="638"/>
      <c r="CD252" s="638"/>
      <c r="CE252" s="638"/>
      <c r="CF252" s="638"/>
      <c r="CG252" s="638"/>
      <c r="CH252" s="638"/>
      <c r="CI252" s="638"/>
      <c r="CJ252" s="638"/>
      <c r="CK252" s="638"/>
      <c r="CL252" s="638"/>
      <c r="CM252" s="638"/>
      <c r="CN252" s="638"/>
      <c r="CO252" s="638"/>
      <c r="CP252" s="638"/>
      <c r="CQ252" s="638"/>
      <c r="CR252" s="638"/>
      <c r="CS252" s="638"/>
      <c r="CT252" s="638"/>
      <c r="CU252" s="638"/>
      <c r="CV252" s="638"/>
      <c r="CW252" s="638"/>
      <c r="CX252" s="638"/>
      <c r="CY252" s="638"/>
      <c r="CZ252" s="638"/>
      <c r="DA252" s="638"/>
      <c r="DB252" s="638"/>
      <c r="DC252" s="638"/>
      <c r="DD252" s="638"/>
      <c r="DE252" s="638"/>
      <c r="DF252" s="638"/>
      <c r="DG252" s="638"/>
      <c r="DH252" s="638"/>
      <c r="DI252" s="638"/>
      <c r="DJ252" s="638"/>
      <c r="DK252" s="638"/>
      <c r="DL252" s="638"/>
      <c r="DM252" s="638"/>
      <c r="DN252" s="638"/>
      <c r="DO252" s="638"/>
      <c r="DP252" s="638"/>
      <c r="DQ252" s="638"/>
      <c r="DR252" s="638"/>
      <c r="DS252" s="638"/>
      <c r="DT252" s="638"/>
      <c r="DU252" s="638"/>
      <c r="DV252" s="638"/>
      <c r="DW252" s="638"/>
      <c r="DX252" s="638"/>
      <c r="DY252" s="638"/>
      <c r="DZ252" s="638"/>
      <c r="EA252" s="638"/>
      <c r="EB252" s="638"/>
      <c r="EC252" s="638"/>
      <c r="ED252" s="638"/>
      <c r="EE252" s="638"/>
      <c r="EF252" s="638"/>
      <c r="EG252" s="638"/>
      <c r="EH252" s="638"/>
      <c r="EI252" s="638"/>
      <c r="EJ252" s="638"/>
      <c r="EK252" s="638"/>
      <c r="EL252" s="638"/>
      <c r="EM252" s="638"/>
      <c r="EN252" s="638"/>
      <c r="EO252" s="638"/>
      <c r="EP252" s="638"/>
      <c r="EQ252" s="638"/>
      <c r="ER252" s="638"/>
      <c r="ES252" s="638"/>
      <c r="ET252" s="638"/>
      <c r="EU252" s="638"/>
      <c r="EV252" s="638"/>
      <c r="EW252" s="638"/>
      <c r="EX252" s="638"/>
      <c r="EY252" s="638"/>
      <c r="EZ252" s="638"/>
      <c r="FA252" s="638"/>
      <c r="FB252" s="638"/>
      <c r="FC252" s="638"/>
      <c r="FD252" s="638"/>
      <c r="FE252" s="638"/>
      <c r="FF252" s="638"/>
      <c r="FG252" s="638"/>
      <c r="FH252" s="638"/>
      <c r="FI252" s="638"/>
      <c r="FJ252" s="638"/>
      <c r="FK252" s="638"/>
      <c r="FL252" s="638"/>
      <c r="FM252" s="638"/>
      <c r="FN252" s="638"/>
      <c r="FO252" s="638"/>
      <c r="FP252" s="638"/>
      <c r="FQ252" s="638"/>
      <c r="FR252" s="638"/>
      <c r="FS252" s="638"/>
      <c r="FT252" s="638"/>
      <c r="FU252" s="638"/>
      <c r="FV252" s="638"/>
      <c r="FW252" s="638"/>
      <c r="FX252" s="638"/>
      <c r="FY252" s="638"/>
      <c r="FZ252" s="638"/>
      <c r="GA252" s="638"/>
      <c r="GB252" s="638"/>
      <c r="GC252" s="638"/>
      <c r="GD252" s="638"/>
      <c r="GE252" s="638"/>
      <c r="GF252" s="638"/>
      <c r="GG252" s="638"/>
      <c r="GH252" s="638"/>
      <c r="GI252" s="638"/>
      <c r="GJ252" s="638"/>
      <c r="GK252" s="638"/>
      <c r="GL252" s="638"/>
      <c r="GM252" s="638"/>
      <c r="GN252" s="638"/>
      <c r="GO252" s="638"/>
      <c r="GP252" s="638"/>
      <c r="GQ252" s="638"/>
      <c r="GR252" s="638"/>
      <c r="GS252" s="638"/>
      <c r="GT252" s="638"/>
      <c r="GU252" s="638"/>
      <c r="GV252" s="638"/>
      <c r="GW252" s="638"/>
      <c r="GX252" s="638"/>
      <c r="GY252" s="638"/>
      <c r="GZ252" s="638"/>
      <c r="HA252" s="638"/>
      <c r="HB252" s="638"/>
      <c r="HC252" s="638"/>
      <c r="HD252" s="638"/>
      <c r="HE252" s="638"/>
      <c r="HF252" s="638"/>
      <c r="HG252" s="638"/>
      <c r="HH252" s="638"/>
      <c r="HI252" s="638"/>
      <c r="HJ252" s="638"/>
      <c r="HK252" s="638"/>
      <c r="HL252" s="638"/>
      <c r="HM252" s="638"/>
      <c r="HN252" s="638"/>
      <c r="HO252" s="638"/>
      <c r="HP252" s="638"/>
      <c r="HQ252" s="638"/>
      <c r="HR252" s="638"/>
      <c r="HS252" s="638"/>
      <c r="HT252" s="638"/>
      <c r="HU252" s="638"/>
      <c r="HV252" s="638"/>
      <c r="HW252" s="638"/>
      <c r="HX252" s="638"/>
      <c r="HY252" s="638"/>
      <c r="HZ252" s="638"/>
      <c r="IA252" s="638"/>
      <c r="IB252" s="638"/>
      <c r="IC252" s="638"/>
      <c r="ID252" s="638"/>
      <c r="IE252" s="638"/>
      <c r="IF252" s="638"/>
      <c r="IG252" s="638"/>
      <c r="IH252" s="638"/>
      <c r="II252" s="638"/>
      <c r="IJ252" s="638"/>
      <c r="IK252" s="638"/>
      <c r="IL252" s="638"/>
      <c r="IM252" s="638"/>
      <c r="IN252" s="638"/>
      <c r="IO252" s="638"/>
      <c r="IP252" s="638"/>
      <c r="IQ252" s="638"/>
      <c r="IR252" s="638"/>
      <c r="IS252" s="638"/>
      <c r="IT252" s="638"/>
      <c r="IU252" s="638"/>
      <c r="IV252" s="638"/>
      <c r="IW252" s="638"/>
      <c r="IX252" s="638"/>
      <c r="IY252" s="638"/>
      <c r="IZ252" s="638"/>
      <c r="JA252" s="638"/>
      <c r="JB252" s="638"/>
      <c r="JC252" s="638"/>
      <c r="JD252" s="638"/>
      <c r="JE252" s="638"/>
      <c r="JF252" s="638"/>
      <c r="JG252" s="638"/>
      <c r="JH252" s="638"/>
      <c r="JI252" s="638"/>
      <c r="JJ252" s="638"/>
      <c r="JK252" s="638"/>
      <c r="JL252" s="638"/>
      <c r="JM252" s="638"/>
      <c r="JN252" s="638"/>
      <c r="JO252" s="638"/>
      <c r="JP252" s="638"/>
      <c r="JQ252" s="638"/>
      <c r="JR252" s="638"/>
      <c r="JS252" s="638"/>
      <c r="JT252" s="638"/>
      <c r="JU252" s="638"/>
      <c r="JV252" s="638"/>
      <c r="JW252" s="638"/>
      <c r="JX252" s="638"/>
      <c r="JY252" s="638"/>
      <c r="JZ252" s="638"/>
      <c r="KA252" s="638"/>
      <c r="KB252" s="638"/>
      <c r="KC252" s="638"/>
      <c r="KD252" s="638"/>
      <c r="KE252" s="638"/>
      <c r="KF252" s="638"/>
      <c r="KG252" s="638"/>
      <c r="KH252" s="638"/>
      <c r="KI252" s="638"/>
      <c r="KJ252" s="638"/>
      <c r="KK252" s="638"/>
      <c r="KL252" s="638"/>
      <c r="KM252" s="638"/>
      <c r="KN252" s="638"/>
      <c r="KO252" s="638"/>
      <c r="KP252" s="638"/>
      <c r="KQ252" s="638"/>
      <c r="KR252" s="638"/>
      <c r="KS252" s="638"/>
      <c r="KT252" s="638"/>
      <c r="KU252" s="638"/>
      <c r="KV252" s="638"/>
      <c r="KW252" s="638"/>
      <c r="KX252" s="638"/>
      <c r="KY252" s="638"/>
      <c r="KZ252" s="638"/>
      <c r="LA252" s="638"/>
      <c r="LB252" s="638"/>
      <c r="LC252" s="638"/>
      <c r="LD252" s="638"/>
      <c r="LE252" s="638"/>
      <c r="LF252" s="638"/>
      <c r="LG252" s="638"/>
      <c r="LH252" s="638"/>
      <c r="LI252" s="638"/>
      <c r="LJ252" s="638"/>
      <c r="LK252" s="638"/>
      <c r="LL252" s="638"/>
      <c r="LM252" s="638"/>
      <c r="LN252" s="638"/>
      <c r="LO252" s="638"/>
      <c r="LP252" s="638"/>
      <c r="LQ252" s="638"/>
      <c r="LR252" s="638"/>
      <c r="LS252" s="638"/>
      <c r="LT252" s="638"/>
      <c r="LU252" s="638"/>
      <c r="LV252" s="638"/>
      <c r="LW252" s="638"/>
      <c r="LX252" s="638"/>
      <c r="LY252" s="638"/>
      <c r="LZ252" s="638"/>
      <c r="MA252" s="638"/>
      <c r="MB252" s="638"/>
      <c r="MC252" s="638"/>
      <c r="MD252" s="638"/>
      <c r="ME252" s="638"/>
      <c r="MF252" s="638"/>
      <c r="MG252" s="638"/>
      <c r="MH252" s="638"/>
      <c r="MI252" s="638"/>
      <c r="MJ252" s="638"/>
      <c r="MK252" s="638"/>
      <c r="ML252" s="638"/>
      <c r="MM252" s="638"/>
      <c r="MN252" s="638"/>
      <c r="MO252" s="638"/>
      <c r="MP252" s="638"/>
      <c r="MQ252" s="638"/>
      <c r="MR252" s="638"/>
      <c r="MS252" s="638"/>
      <c r="MT252" s="638"/>
      <c r="MU252" s="638"/>
      <c r="MV252" s="638"/>
      <c r="MW252" s="638"/>
      <c r="MX252" s="638"/>
      <c r="MY252" s="638"/>
      <c r="MZ252" s="638"/>
      <c r="NA252" s="638"/>
      <c r="NB252" s="638"/>
      <c r="NC252" s="638"/>
      <c r="ND252" s="638"/>
      <c r="NE252" s="638"/>
      <c r="NF252" s="638"/>
      <c r="NG252" s="638"/>
      <c r="NH252" s="638"/>
      <c r="NI252" s="638"/>
      <c r="NJ252" s="638"/>
      <c r="NK252" s="638"/>
      <c r="NL252" s="638"/>
      <c r="NM252" s="638"/>
      <c r="NN252" s="638"/>
      <c r="NO252" s="638"/>
      <c r="NP252" s="638"/>
      <c r="NQ252" s="638"/>
      <c r="NR252" s="638"/>
      <c r="NS252" s="638"/>
      <c r="NT252" s="638"/>
      <c r="NU252" s="638"/>
      <c r="NV252" s="638"/>
      <c r="NW252" s="638"/>
      <c r="NX252" s="638"/>
      <c r="NY252" s="638"/>
      <c r="NZ252" s="638"/>
      <c r="OA252" s="638"/>
      <c r="OB252" s="638"/>
      <c r="OC252" s="638"/>
      <c r="OD252" s="638"/>
      <c r="OE252" s="638"/>
      <c r="OF252" s="638"/>
      <c r="OG252" s="638"/>
      <c r="OH252" s="638"/>
      <c r="OI252" s="638"/>
      <c r="OJ252" s="638"/>
      <c r="OK252" s="638"/>
      <c r="OL252" s="638"/>
      <c r="OM252" s="638"/>
      <c r="ON252" s="638"/>
      <c r="OO252" s="638"/>
      <c r="OP252" s="638"/>
      <c r="OQ252" s="638"/>
      <c r="OR252" s="638"/>
      <c r="OS252" s="638"/>
      <c r="OT252" s="638"/>
      <c r="OU252" s="638"/>
      <c r="OV252" s="638"/>
      <c r="OW252" s="638"/>
      <c r="OX252" s="638"/>
      <c r="OY252" s="638"/>
      <c r="OZ252" s="638"/>
      <c r="PA252" s="638"/>
      <c r="PB252" s="638"/>
      <c r="PC252" s="638"/>
      <c r="PD252" s="638"/>
      <c r="PE252" s="638"/>
      <c r="PF252" s="638"/>
      <c r="PG252" s="638"/>
      <c r="PH252" s="638"/>
      <c r="PI252" s="638"/>
      <c r="PJ252" s="638"/>
      <c r="PK252" s="638"/>
      <c r="PL252" s="638"/>
      <c r="PM252" s="638"/>
      <c r="PN252" s="638"/>
      <c r="PO252" s="638"/>
      <c r="PP252" s="638"/>
      <c r="PQ252" s="638"/>
      <c r="PR252" s="638"/>
      <c r="PS252" s="638"/>
      <c r="PT252" s="638"/>
      <c r="PU252" s="638"/>
      <c r="PV252" s="638"/>
      <c r="PW252" s="638"/>
      <c r="PX252" s="638"/>
      <c r="PY252" s="638"/>
      <c r="PZ252" s="638"/>
      <c r="QA252" s="638"/>
      <c r="QB252" s="638"/>
      <c r="QC252" s="638"/>
      <c r="QD252" s="638"/>
      <c r="QE252" s="638"/>
      <c r="QF252" s="638"/>
      <c r="QG252" s="638"/>
      <c r="QH252" s="638"/>
      <c r="QI252" s="638"/>
      <c r="QJ252" s="638"/>
      <c r="QK252" s="638"/>
      <c r="QL252" s="638"/>
      <c r="QM252" s="638"/>
      <c r="QN252" s="638"/>
      <c r="QO252" s="638"/>
      <c r="QP252" s="638"/>
      <c r="QQ252" s="638"/>
      <c r="QR252" s="638"/>
      <c r="QS252" s="638"/>
      <c r="QT252" s="638"/>
      <c r="QU252" s="638"/>
      <c r="QV252" s="638"/>
      <c r="QW252" s="638"/>
      <c r="QX252" s="638"/>
      <c r="QY252" s="638"/>
      <c r="QZ252" s="638"/>
      <c r="RA252" s="638"/>
      <c r="RB252" s="638"/>
      <c r="RC252" s="638"/>
      <c r="RD252" s="638"/>
      <c r="RE252" s="638"/>
      <c r="RF252" s="638"/>
      <c r="RG252" s="638"/>
      <c r="RH252" s="638"/>
      <c r="RI252" s="638"/>
      <c r="RJ252" s="638"/>
      <c r="RK252" s="638"/>
      <c r="RL252" s="638"/>
      <c r="RM252" s="638"/>
      <c r="RN252" s="638"/>
      <c r="RO252" s="638"/>
      <c r="RP252" s="638"/>
      <c r="RQ252" s="638"/>
      <c r="RR252" s="638"/>
      <c r="RS252" s="638"/>
      <c r="RT252" s="638"/>
      <c r="RU252" s="638"/>
      <c r="RV252" s="638"/>
      <c r="RW252" s="638"/>
      <c r="RX252" s="638"/>
      <c r="RY252" s="638"/>
      <c r="RZ252" s="638"/>
      <c r="SA252" s="638"/>
      <c r="SB252" s="638"/>
      <c r="SC252" s="638"/>
      <c r="SD252" s="638"/>
      <c r="SE252" s="638"/>
      <c r="SF252" s="638"/>
      <c r="SG252" s="638"/>
      <c r="SH252" s="638"/>
      <c r="SI252" s="638"/>
      <c r="SJ252" s="638"/>
      <c r="SK252" s="638"/>
      <c r="SL252" s="638"/>
      <c r="SM252" s="638"/>
      <c r="SN252" s="638"/>
      <c r="SO252" s="638"/>
      <c r="SP252" s="638"/>
      <c r="SQ252" s="638"/>
      <c r="SR252" s="638"/>
      <c r="SS252" s="638"/>
      <c r="ST252" s="638"/>
      <c r="SU252" s="638"/>
      <c r="SV252" s="638"/>
      <c r="SW252" s="638"/>
      <c r="SX252" s="638"/>
      <c r="SY252" s="638"/>
      <c r="SZ252" s="638"/>
      <c r="TA252" s="638"/>
      <c r="TB252" s="638"/>
      <c r="TC252" s="638"/>
      <c r="TD252" s="638"/>
      <c r="TE252" s="638"/>
      <c r="TF252" s="638"/>
      <c r="TG252" s="638"/>
      <c r="TH252" s="638"/>
      <c r="TI252" s="638"/>
      <c r="TJ252" s="638"/>
      <c r="TK252" s="638"/>
      <c r="TL252" s="638"/>
      <c r="TM252" s="638"/>
      <c r="TN252" s="638"/>
      <c r="TO252" s="638"/>
      <c r="TP252" s="638"/>
      <c r="TQ252" s="638"/>
      <c r="TR252" s="638"/>
      <c r="TS252" s="638"/>
      <c r="TT252" s="638"/>
      <c r="TU252" s="638"/>
      <c r="TV252" s="638"/>
      <c r="TW252" s="638"/>
      <c r="TX252" s="638"/>
      <c r="TY252" s="638"/>
      <c r="TZ252" s="638"/>
      <c r="UA252" s="638"/>
      <c r="UB252" s="638"/>
      <c r="UC252" s="638"/>
      <c r="UD252" s="638"/>
      <c r="UE252" s="638"/>
      <c r="UF252" s="638"/>
      <c r="UG252" s="638"/>
      <c r="UH252" s="638"/>
      <c r="UI252" s="638"/>
      <c r="UJ252" s="638"/>
      <c r="UK252" s="638"/>
      <c r="UL252" s="638"/>
      <c r="UM252" s="638"/>
      <c r="UN252" s="638"/>
      <c r="UO252" s="638"/>
      <c r="UP252" s="638"/>
      <c r="UQ252" s="638"/>
      <c r="UR252" s="638"/>
      <c r="US252" s="638"/>
      <c r="UT252" s="638"/>
      <c r="UU252" s="638"/>
      <c r="UV252" s="638"/>
      <c r="UW252" s="638"/>
      <c r="UX252" s="638"/>
      <c r="UY252" s="638"/>
      <c r="UZ252" s="638"/>
      <c r="VA252" s="638"/>
      <c r="VB252" s="638"/>
      <c r="VC252" s="638"/>
      <c r="VD252" s="638"/>
      <c r="VE252" s="638"/>
      <c r="VF252" s="638"/>
      <c r="VG252" s="638"/>
      <c r="VH252" s="638"/>
      <c r="VI252" s="638"/>
      <c r="VJ252" s="638"/>
      <c r="VK252" s="638"/>
      <c r="VL252" s="638"/>
      <c r="VM252" s="638"/>
      <c r="VN252" s="638"/>
      <c r="VO252" s="638"/>
      <c r="VP252" s="638"/>
      <c r="VQ252" s="638"/>
      <c r="VR252" s="638"/>
      <c r="VS252" s="638"/>
      <c r="VT252" s="638"/>
      <c r="VU252" s="638"/>
      <c r="VV252" s="638"/>
      <c r="VW252" s="638"/>
      <c r="VX252" s="638"/>
      <c r="VY252" s="638"/>
      <c r="VZ252" s="638"/>
      <c r="WA252" s="638"/>
      <c r="WB252" s="638"/>
      <c r="WC252" s="638"/>
      <c r="WD252" s="638"/>
      <c r="WE252" s="638"/>
      <c r="WF252" s="638"/>
      <c r="WG252" s="638"/>
      <c r="WH252" s="638"/>
      <c r="WI252" s="638"/>
      <c r="WJ252" s="638"/>
      <c r="WK252" s="638"/>
      <c r="WL252" s="638"/>
      <c r="WM252" s="638"/>
      <c r="WN252" s="638"/>
      <c r="WO252" s="638"/>
      <c r="WP252" s="638"/>
      <c r="WQ252" s="638"/>
      <c r="WR252" s="638"/>
      <c r="WS252" s="638"/>
      <c r="WT252" s="638"/>
      <c r="WU252" s="638"/>
      <c r="WV252" s="638"/>
      <c r="WW252" s="638"/>
      <c r="WX252" s="638"/>
      <c r="WY252" s="638"/>
      <c r="WZ252" s="638"/>
      <c r="XA252" s="638"/>
      <c r="XB252" s="638"/>
      <c r="XC252" s="638"/>
      <c r="XD252" s="638"/>
      <c r="XE252" s="638"/>
      <c r="XF252" s="638"/>
      <c r="XG252" s="638"/>
      <c r="XH252" s="638"/>
      <c r="XI252" s="638"/>
      <c r="XJ252" s="638"/>
      <c r="XK252" s="638"/>
      <c r="XL252" s="638"/>
      <c r="XM252" s="638"/>
      <c r="XN252" s="638"/>
      <c r="XO252" s="638"/>
      <c r="XP252" s="638"/>
      <c r="XQ252" s="638"/>
      <c r="XR252" s="638"/>
      <c r="XS252" s="638"/>
      <c r="XT252" s="638"/>
      <c r="XU252" s="638"/>
      <c r="XV252" s="638"/>
      <c r="XW252" s="638"/>
      <c r="XX252" s="638"/>
      <c r="XY252" s="638"/>
      <c r="XZ252" s="638"/>
      <c r="YA252" s="638"/>
      <c r="YB252" s="638"/>
      <c r="YC252" s="638"/>
      <c r="YD252" s="638"/>
      <c r="YE252" s="638"/>
      <c r="YF252" s="638"/>
      <c r="YG252" s="638"/>
      <c r="YH252" s="638"/>
      <c r="YI252" s="638"/>
      <c r="YJ252" s="638"/>
      <c r="YK252" s="638"/>
      <c r="YL252" s="638"/>
      <c r="YM252" s="638"/>
      <c r="YN252" s="638"/>
      <c r="YO252" s="638"/>
      <c r="YP252" s="638"/>
      <c r="YQ252" s="638"/>
      <c r="YR252" s="638"/>
      <c r="YS252" s="638"/>
      <c r="YT252" s="638"/>
      <c r="YU252" s="638"/>
      <c r="YV252" s="638"/>
      <c r="YW252" s="638"/>
      <c r="YX252" s="638"/>
      <c r="YY252" s="638"/>
      <c r="YZ252" s="638"/>
      <c r="ZA252" s="638"/>
      <c r="ZB252" s="638"/>
      <c r="ZC252" s="638"/>
      <c r="ZD252" s="638"/>
      <c r="ZE252" s="638"/>
      <c r="ZF252" s="638"/>
      <c r="ZG252" s="638"/>
      <c r="ZH252" s="638"/>
      <c r="ZI252" s="638"/>
      <c r="ZJ252" s="638"/>
      <c r="ZK252" s="638"/>
      <c r="ZL252" s="638"/>
      <c r="ZM252" s="638"/>
      <c r="ZN252" s="638"/>
      <c r="ZO252" s="638"/>
      <c r="ZP252" s="638"/>
      <c r="ZQ252" s="638"/>
      <c r="ZR252" s="638"/>
      <c r="ZS252" s="638"/>
      <c r="ZT252" s="638"/>
      <c r="ZU252" s="638"/>
      <c r="ZV252" s="638"/>
      <c r="ZW252" s="638"/>
      <c r="ZX252" s="638"/>
      <c r="ZY252" s="641"/>
      <c r="ZZ252" s="624"/>
      <c r="AAA252" s="590"/>
      <c r="AAB252"/>
      <c r="AAC252"/>
      <c r="AAD252" s="113"/>
      <c r="AAE252" s="553">
        <f t="shared" ref="AAE252:AAE261" si="909">IF(S.InvolveHearing=TRUE,1,0)</f>
        <v>1</v>
      </c>
      <c r="AAF252" s="585" t="s">
        <v>199</v>
      </c>
      <c r="AAG252" s="77"/>
      <c r="AAH252" s="77"/>
      <c r="AAI252" s="77"/>
      <c r="AAJ252" s="77"/>
      <c r="AAK252" s="77"/>
      <c r="AAL252" s="83" t="str">
        <f>IF(S.InvolveHearing=TRUE,"Enter hearing dates","No hearings planned")</f>
        <v>Enter hearing dates</v>
      </c>
      <c r="AAM252" s="113"/>
      <c r="AAU252" s="44"/>
    </row>
    <row r="253" spans="1:732" s="23" customFormat="1" ht="18" customHeight="1">
      <c r="A253" s="560"/>
      <c r="B253" s="429" t="s">
        <v>313</v>
      </c>
      <c r="C253" s="169"/>
      <c r="D253" s="746" t="s">
        <v>314</v>
      </c>
      <c r="E253" s="746"/>
      <c r="F253" s="746"/>
      <c r="G253" s="670">
        <f>AAG253</f>
        <v>41502</v>
      </c>
      <c r="H253" s="529" t="s">
        <v>307</v>
      </c>
      <c r="I253" s="629"/>
      <c r="J253" s="593"/>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c r="DM253" s="47"/>
      <c r="DN253" s="47"/>
      <c r="DO253" s="47"/>
      <c r="DP253" s="47"/>
      <c r="DQ253" s="47"/>
      <c r="DR253" s="47"/>
      <c r="DS253" s="47"/>
      <c r="DT253" s="47"/>
      <c r="DU253" s="47"/>
      <c r="DV253" s="47"/>
      <c r="DW253" s="47"/>
      <c r="DX253" s="47"/>
      <c r="DY253" s="47"/>
      <c r="DZ253" s="47"/>
      <c r="EA253" s="47"/>
      <c r="EB253" s="47"/>
      <c r="EC253" s="47"/>
      <c r="ED253" s="47"/>
      <c r="EE253" s="47"/>
      <c r="EF253" s="47"/>
      <c r="EG253" s="47"/>
      <c r="EH253" s="47"/>
      <c r="EI253" s="47"/>
      <c r="EJ253" s="47"/>
      <c r="EK253" s="47"/>
      <c r="EL253" s="47"/>
      <c r="EM253" s="47"/>
      <c r="EN253" s="47"/>
      <c r="EO253" s="47"/>
      <c r="EP253" s="47"/>
      <c r="EQ253" s="47"/>
      <c r="ER253" s="47"/>
      <c r="ES253" s="47"/>
      <c r="ET253" s="47"/>
      <c r="EU253" s="47"/>
      <c r="EV253" s="47"/>
      <c r="EW253" s="47"/>
      <c r="EX253" s="47"/>
      <c r="EY253" s="47"/>
      <c r="EZ253" s="47"/>
      <c r="FA253" s="47"/>
      <c r="FB253" s="47"/>
      <c r="FC253" s="47"/>
      <c r="FD253" s="47"/>
      <c r="FE253" s="47"/>
      <c r="FF253" s="47"/>
      <c r="FG253" s="47"/>
      <c r="FH253" s="47"/>
      <c r="FI253" s="47"/>
      <c r="FJ253" s="47"/>
      <c r="FK253" s="47"/>
      <c r="FL253" s="47"/>
      <c r="FM253" s="47"/>
      <c r="FN253" s="47"/>
      <c r="FO253" s="47"/>
      <c r="FP253" s="47"/>
      <c r="FQ253" s="47"/>
      <c r="FR253" s="47"/>
      <c r="FS253" s="47"/>
      <c r="FT253" s="47"/>
      <c r="FU253" s="47"/>
      <c r="FV253" s="47"/>
      <c r="FW253" s="47"/>
      <c r="FX253" s="47"/>
      <c r="FY253" s="47"/>
      <c r="FZ253" s="47"/>
      <c r="GA253" s="47"/>
      <c r="GB253" s="47"/>
      <c r="GC253" s="47"/>
      <c r="GD253" s="47"/>
      <c r="GE253" s="47"/>
      <c r="GF253" s="47"/>
      <c r="GG253" s="47"/>
      <c r="GH253" s="47"/>
      <c r="GI253" s="47"/>
      <c r="GJ253" s="47"/>
      <c r="GK253" s="47"/>
      <c r="GL253" s="47"/>
      <c r="GM253" s="47"/>
      <c r="GN253" s="47"/>
      <c r="GO253" s="47"/>
      <c r="GP253" s="47"/>
      <c r="GQ253" s="47"/>
      <c r="GR253" s="47"/>
      <c r="GS253" s="47"/>
      <c r="GT253" s="47"/>
      <c r="GU253" s="47"/>
      <c r="GV253" s="47"/>
      <c r="GW253" s="47"/>
      <c r="GX253" s="47"/>
      <c r="GY253" s="47"/>
      <c r="GZ253" s="47"/>
      <c r="HA253" s="47"/>
      <c r="HB253" s="47"/>
      <c r="HC253" s="47"/>
      <c r="HD253" s="47"/>
      <c r="HE253" s="47"/>
      <c r="HF253" s="47"/>
      <c r="HG253" s="47"/>
      <c r="HH253" s="47"/>
      <c r="HI253" s="47"/>
      <c r="HJ253" s="47"/>
      <c r="HK253" s="47"/>
      <c r="HL253" s="47"/>
      <c r="HM253" s="47"/>
      <c r="HN253" s="47"/>
      <c r="HO253" s="47"/>
      <c r="HP253" s="47"/>
      <c r="HQ253" s="47"/>
      <c r="HR253" s="47"/>
      <c r="HS253" s="47"/>
      <c r="HT253" s="47"/>
      <c r="HU253" s="47"/>
      <c r="HV253" s="47"/>
      <c r="HW253" s="47"/>
      <c r="HX253" s="47"/>
      <c r="HY253" s="47"/>
      <c r="HZ253" s="47"/>
      <c r="IA253" s="47"/>
      <c r="IB253" s="47"/>
      <c r="IC253" s="47"/>
      <c r="ID253" s="47"/>
      <c r="IE253" s="47"/>
      <c r="IF253" s="47"/>
      <c r="IG253" s="47"/>
      <c r="IH253" s="47"/>
      <c r="II253" s="47"/>
      <c r="IJ253" s="47"/>
      <c r="IK253" s="47"/>
      <c r="IL253" s="47"/>
      <c r="IM253" s="47"/>
      <c r="IN253" s="47"/>
      <c r="IO253" s="47"/>
      <c r="IP253" s="47"/>
      <c r="IQ253" s="47"/>
      <c r="IR253" s="47"/>
      <c r="IS253" s="47"/>
      <c r="IT253" s="47"/>
      <c r="IU253" s="47"/>
      <c r="IV253" s="47"/>
      <c r="IW253" s="47"/>
      <c r="IX253" s="47"/>
      <c r="IY253" s="47"/>
      <c r="IZ253" s="47"/>
      <c r="JA253" s="47"/>
      <c r="JB253" s="47"/>
      <c r="JC253" s="47"/>
      <c r="JD253" s="47"/>
      <c r="JE253" s="47"/>
      <c r="JF253" s="47"/>
      <c r="JG253" s="47"/>
      <c r="JH253" s="47"/>
      <c r="JI253" s="47"/>
      <c r="JJ253" s="47"/>
      <c r="JK253" s="47"/>
      <c r="JL253" s="47"/>
      <c r="JM253" s="47"/>
      <c r="JN253" s="47"/>
      <c r="JO253" s="47"/>
      <c r="JP253" s="47"/>
      <c r="JQ253" s="47"/>
      <c r="JR253" s="47"/>
      <c r="JS253" s="47"/>
      <c r="JT253" s="47"/>
      <c r="JU253" s="47"/>
      <c r="JV253" s="47"/>
      <c r="JW253" s="47"/>
      <c r="JX253" s="47"/>
      <c r="JY253" s="47"/>
      <c r="JZ253" s="47"/>
      <c r="KA253" s="47"/>
      <c r="KB253" s="47"/>
      <c r="KC253" s="47"/>
      <c r="KD253" s="47"/>
      <c r="KE253" s="47"/>
      <c r="KF253" s="47"/>
      <c r="KG253" s="47"/>
      <c r="KH253" s="47"/>
      <c r="KI253" s="47"/>
      <c r="KJ253" s="47"/>
      <c r="KK253" s="47"/>
      <c r="KL253" s="47"/>
      <c r="KM253" s="47"/>
      <c r="KN253" s="47"/>
      <c r="KO253" s="47"/>
      <c r="KP253" s="47"/>
      <c r="KQ253" s="47"/>
      <c r="KR253" s="47"/>
      <c r="KS253" s="47"/>
      <c r="KT253" s="47"/>
      <c r="KU253" s="47"/>
      <c r="KV253" s="47"/>
      <c r="KW253" s="47"/>
      <c r="KX253" s="47"/>
      <c r="KY253" s="47"/>
      <c r="KZ253" s="47"/>
      <c r="LA253" s="47"/>
      <c r="LB253" s="47"/>
      <c r="LC253" s="47"/>
      <c r="LD253" s="47"/>
      <c r="LE253" s="47"/>
      <c r="LF253" s="47"/>
      <c r="LG253" s="47"/>
      <c r="LH253" s="47"/>
      <c r="LI253" s="47"/>
      <c r="LJ253" s="47"/>
      <c r="LK253" s="47"/>
      <c r="LL253" s="47"/>
      <c r="LM253" s="47"/>
      <c r="LN253" s="47"/>
      <c r="LO253" s="47"/>
      <c r="LP253" s="47"/>
      <c r="LQ253" s="47"/>
      <c r="LR253" s="47"/>
      <c r="LS253" s="47"/>
      <c r="LT253" s="47"/>
      <c r="LU253" s="47"/>
      <c r="LV253" s="47"/>
      <c r="LW253" s="47"/>
      <c r="LX253" s="47"/>
      <c r="LY253" s="47"/>
      <c r="LZ253" s="47"/>
      <c r="MA253" s="47"/>
      <c r="MB253" s="47"/>
      <c r="MC253" s="47"/>
      <c r="MD253" s="47"/>
      <c r="ME253" s="47"/>
      <c r="MF253" s="47"/>
      <c r="MG253" s="47"/>
      <c r="MH253" s="47"/>
      <c r="MI253" s="47"/>
      <c r="MJ253" s="47"/>
      <c r="MK253" s="47"/>
      <c r="ML253" s="47"/>
      <c r="MM253" s="47"/>
      <c r="MN253" s="47"/>
      <c r="MO253" s="47"/>
      <c r="MP253" s="47"/>
      <c r="MQ253" s="47"/>
      <c r="MR253" s="47"/>
      <c r="MS253" s="47"/>
      <c r="MT253" s="47"/>
      <c r="MU253" s="47"/>
      <c r="MV253" s="47"/>
      <c r="MW253" s="47"/>
      <c r="MX253" s="47"/>
      <c r="MY253" s="47"/>
      <c r="MZ253" s="47"/>
      <c r="NA253" s="47"/>
      <c r="NB253" s="47"/>
      <c r="NC253" s="47"/>
      <c r="ND253" s="47"/>
      <c r="NE253" s="47"/>
      <c r="NF253" s="47"/>
      <c r="NG253" s="47"/>
      <c r="NH253" s="47"/>
      <c r="NI253" s="47"/>
      <c r="NJ253" s="47"/>
      <c r="NK253" s="47"/>
      <c r="NL253" s="47"/>
      <c r="NM253" s="47"/>
      <c r="NN253" s="47"/>
      <c r="NO253" s="47"/>
      <c r="NP253" s="47"/>
      <c r="NQ253" s="47"/>
      <c r="NR253" s="47"/>
      <c r="NS253" s="47"/>
      <c r="NT253" s="47"/>
      <c r="NU253" s="47"/>
      <c r="NV253" s="47"/>
      <c r="NW253" s="47"/>
      <c r="NX253" s="47"/>
      <c r="NY253" s="47"/>
      <c r="NZ253" s="47"/>
      <c r="OA253" s="47"/>
      <c r="OB253" s="47"/>
      <c r="OC253" s="47"/>
      <c r="OD253" s="47"/>
      <c r="OE253" s="47"/>
      <c r="OF253" s="47"/>
      <c r="OG253" s="47"/>
      <c r="OH253" s="47"/>
      <c r="OI253" s="47"/>
      <c r="OJ253" s="47"/>
      <c r="OK253" s="47"/>
      <c r="OL253" s="47"/>
      <c r="OM253" s="47"/>
      <c r="ON253" s="47"/>
      <c r="OO253" s="47"/>
      <c r="OP253" s="47"/>
      <c r="OQ253" s="47"/>
      <c r="OR253" s="47"/>
      <c r="OS253" s="47"/>
      <c r="OT253" s="47"/>
      <c r="OU253" s="47"/>
      <c r="OV253" s="47"/>
      <c r="OW253" s="47"/>
      <c r="OX253" s="47"/>
      <c r="OY253" s="47"/>
      <c r="OZ253" s="47"/>
      <c r="PA253" s="47"/>
      <c r="PB253" s="47"/>
      <c r="PC253" s="47"/>
      <c r="PD253" s="47"/>
      <c r="PE253" s="47"/>
      <c r="PF253" s="47"/>
      <c r="PG253" s="47"/>
      <c r="PH253" s="47"/>
      <c r="PI253" s="47"/>
      <c r="PJ253" s="47"/>
      <c r="PK253" s="47"/>
      <c r="PL253" s="47"/>
      <c r="PM253" s="47"/>
      <c r="PN253" s="47"/>
      <c r="PO253" s="47"/>
      <c r="PP253" s="47"/>
      <c r="PQ253" s="47"/>
      <c r="PR253" s="47"/>
      <c r="PS253" s="47"/>
      <c r="PT253" s="47"/>
      <c r="PU253" s="47"/>
      <c r="PV253" s="47"/>
      <c r="PW253" s="47"/>
      <c r="PX253" s="47"/>
      <c r="PY253" s="47"/>
      <c r="PZ253" s="47"/>
      <c r="QA253" s="47"/>
      <c r="QB253" s="47"/>
      <c r="QC253" s="47"/>
      <c r="QD253" s="47"/>
      <c r="QE253" s="47"/>
      <c r="QF253" s="47"/>
      <c r="QG253" s="47"/>
      <c r="QH253" s="47"/>
      <c r="QI253" s="47"/>
      <c r="QJ253" s="47"/>
      <c r="QK253" s="47"/>
      <c r="QL253" s="47"/>
      <c r="QM253" s="47"/>
      <c r="QN253" s="47"/>
      <c r="QO253" s="47"/>
      <c r="QP253" s="47"/>
      <c r="QQ253" s="47"/>
      <c r="QR253" s="47"/>
      <c r="QS253" s="47"/>
      <c r="QT253" s="47"/>
      <c r="QU253" s="47"/>
      <c r="QV253" s="47"/>
      <c r="QW253" s="47"/>
      <c r="QX253" s="47"/>
      <c r="QY253" s="47"/>
      <c r="QZ253" s="47"/>
      <c r="RA253" s="47"/>
      <c r="RB253" s="47"/>
      <c r="RC253" s="47"/>
      <c r="RD253" s="47"/>
      <c r="RE253" s="47"/>
      <c r="RF253" s="47"/>
      <c r="RG253" s="47"/>
      <c r="RH253" s="47"/>
      <c r="RI253" s="47"/>
      <c r="RJ253" s="47"/>
      <c r="RK253" s="47"/>
      <c r="RL253" s="47"/>
      <c r="RM253" s="47"/>
      <c r="RN253" s="47"/>
      <c r="RO253" s="47"/>
      <c r="RP253" s="47"/>
      <c r="RQ253" s="47"/>
      <c r="RR253" s="47"/>
      <c r="RS253" s="47"/>
      <c r="RT253" s="47"/>
      <c r="RU253" s="47"/>
      <c r="RV253" s="47"/>
      <c r="RW253" s="47"/>
      <c r="RX253" s="47"/>
      <c r="RY253" s="47"/>
      <c r="RZ253" s="47"/>
      <c r="SA253" s="47"/>
      <c r="SB253" s="47"/>
      <c r="SC253" s="47"/>
      <c r="SD253" s="47"/>
      <c r="SE253" s="47"/>
      <c r="SF253" s="47"/>
      <c r="SG253" s="47"/>
      <c r="SH253" s="47"/>
      <c r="SI253" s="47"/>
      <c r="SJ253" s="47"/>
      <c r="SK253" s="47"/>
      <c r="SL253" s="47"/>
      <c r="SM253" s="47"/>
      <c r="SN253" s="47"/>
      <c r="SO253" s="47"/>
      <c r="SP253" s="47"/>
      <c r="SQ253" s="47"/>
      <c r="SR253" s="47"/>
      <c r="SS253" s="47"/>
      <c r="ST253" s="47"/>
      <c r="SU253" s="47"/>
      <c r="SV253" s="47"/>
      <c r="SW253" s="47"/>
      <c r="SX253" s="47"/>
      <c r="SY253" s="47"/>
      <c r="SZ253" s="47"/>
      <c r="TA253" s="47"/>
      <c r="TB253" s="47"/>
      <c r="TC253" s="47"/>
      <c r="TD253" s="47"/>
      <c r="TE253" s="47"/>
      <c r="TF253" s="47"/>
      <c r="TG253" s="47"/>
      <c r="TH253" s="47"/>
      <c r="TI253" s="47"/>
      <c r="TJ253" s="47"/>
      <c r="TK253" s="47"/>
      <c r="TL253" s="47"/>
      <c r="TM253" s="47"/>
      <c r="TN253" s="47"/>
      <c r="TO253" s="47"/>
      <c r="TP253" s="47"/>
      <c r="TQ253" s="47"/>
      <c r="TR253" s="47"/>
      <c r="TS253" s="47"/>
      <c r="TT253" s="47"/>
      <c r="TU253" s="47"/>
      <c r="TV253" s="47"/>
      <c r="TW253" s="47"/>
      <c r="TX253" s="47"/>
      <c r="TY253" s="47"/>
      <c r="TZ253" s="47"/>
      <c r="UA253" s="47"/>
      <c r="UB253" s="47"/>
      <c r="UC253" s="47"/>
      <c r="UD253" s="47"/>
      <c r="UE253" s="47"/>
      <c r="UF253" s="47"/>
      <c r="UG253" s="47"/>
      <c r="UH253" s="47"/>
      <c r="UI253" s="47"/>
      <c r="UJ253" s="47"/>
      <c r="UK253" s="47"/>
      <c r="UL253" s="47"/>
      <c r="UM253" s="47"/>
      <c r="UN253" s="47"/>
      <c r="UO253" s="47"/>
      <c r="UP253" s="47"/>
      <c r="UQ253" s="47"/>
      <c r="UR253" s="47"/>
      <c r="US253" s="47"/>
      <c r="UT253" s="47"/>
      <c r="UU253" s="47"/>
      <c r="UV253" s="47"/>
      <c r="UW253" s="47"/>
      <c r="UX253" s="47"/>
      <c r="UY253" s="47"/>
      <c r="UZ253" s="47"/>
      <c r="VA253" s="47"/>
      <c r="VB253" s="47"/>
      <c r="VC253" s="47"/>
      <c r="VD253" s="47"/>
      <c r="VE253" s="47"/>
      <c r="VF253" s="47"/>
      <c r="VG253" s="47"/>
      <c r="VH253" s="47"/>
      <c r="VI253" s="47"/>
      <c r="VJ253" s="47"/>
      <c r="VK253" s="47"/>
      <c r="VL253" s="47"/>
      <c r="VM253" s="47"/>
      <c r="VN253" s="47"/>
      <c r="VO253" s="47"/>
      <c r="VP253" s="47"/>
      <c r="VQ253" s="47"/>
      <c r="VR253" s="47"/>
      <c r="VS253" s="47"/>
      <c r="VT253" s="47"/>
      <c r="VU253" s="47"/>
      <c r="VV253" s="47"/>
      <c r="VW253" s="47"/>
      <c r="VX253" s="47"/>
      <c r="VY253" s="47"/>
      <c r="VZ253" s="47"/>
      <c r="WA253" s="47"/>
      <c r="WB253" s="47"/>
      <c r="WC253" s="47"/>
      <c r="WD253" s="47"/>
      <c r="WE253" s="47"/>
      <c r="WF253" s="47"/>
      <c r="WG253" s="47"/>
      <c r="WH253" s="47"/>
      <c r="WI253" s="47"/>
      <c r="WJ253" s="47"/>
      <c r="WK253" s="47"/>
      <c r="WL253" s="47"/>
      <c r="WM253" s="47"/>
      <c r="WN253" s="47"/>
      <c r="WO253" s="47"/>
      <c r="WP253" s="47"/>
      <c r="WQ253" s="47"/>
      <c r="WR253" s="47"/>
      <c r="WS253" s="47"/>
      <c r="WT253" s="47"/>
      <c r="WU253" s="47"/>
      <c r="WV253" s="47"/>
      <c r="WW253" s="47"/>
      <c r="WX253" s="47"/>
      <c r="WY253" s="47"/>
      <c r="WZ253" s="47"/>
      <c r="XA253" s="47"/>
      <c r="XB253" s="47"/>
      <c r="XC253" s="47"/>
      <c r="XD253" s="47"/>
      <c r="XE253" s="47"/>
      <c r="XF253" s="47"/>
      <c r="XG253" s="47"/>
      <c r="XH253" s="47"/>
      <c r="XI253" s="47"/>
      <c r="XJ253" s="47"/>
      <c r="XK253" s="47"/>
      <c r="XL253" s="47"/>
      <c r="XM253" s="47"/>
      <c r="XN253" s="47"/>
      <c r="XO253" s="47"/>
      <c r="XP253" s="47"/>
      <c r="XQ253" s="47"/>
      <c r="XR253" s="47"/>
      <c r="XS253" s="47"/>
      <c r="XT253" s="47"/>
      <c r="XU253" s="47"/>
      <c r="XV253" s="47"/>
      <c r="XW253" s="47"/>
      <c r="XX253" s="47"/>
      <c r="XY253" s="47"/>
      <c r="XZ253" s="47"/>
      <c r="YA253" s="47"/>
      <c r="YB253" s="47"/>
      <c r="YC253" s="47"/>
      <c r="YD253" s="47"/>
      <c r="YE253" s="47"/>
      <c r="YF253" s="47"/>
      <c r="YG253" s="47"/>
      <c r="YH253" s="47"/>
      <c r="YI253" s="47"/>
      <c r="YJ253" s="47"/>
      <c r="YK253" s="47"/>
      <c r="YL253" s="47"/>
      <c r="YM253" s="47"/>
      <c r="YN253" s="47"/>
      <c r="YO253" s="47"/>
      <c r="YP253" s="47"/>
      <c r="YQ253" s="47"/>
      <c r="YR253" s="47"/>
      <c r="YS253" s="47"/>
      <c r="YT253" s="47"/>
      <c r="YU253" s="47"/>
      <c r="YV253" s="47"/>
      <c r="YW253" s="47"/>
      <c r="YX253" s="47"/>
      <c r="YY253" s="47"/>
      <c r="YZ253" s="47"/>
      <c r="ZA253" s="47"/>
      <c r="ZB253" s="47"/>
      <c r="ZC253" s="47"/>
      <c r="ZD253" s="47"/>
      <c r="ZE253" s="47"/>
      <c r="ZF253" s="47"/>
      <c r="ZG253" s="47"/>
      <c r="ZH253" s="47"/>
      <c r="ZI253" s="47"/>
      <c r="ZJ253" s="47"/>
      <c r="ZK253" s="47"/>
      <c r="ZL253" s="47"/>
      <c r="ZM253" s="47"/>
      <c r="ZN253" s="47"/>
      <c r="ZO253" s="47"/>
      <c r="ZP253" s="47"/>
      <c r="ZQ253" s="47"/>
      <c r="ZR253" s="47"/>
      <c r="ZS253" s="47"/>
      <c r="ZT253" s="47"/>
      <c r="ZU253" s="47"/>
      <c r="ZV253" s="47"/>
      <c r="ZW253" s="47"/>
      <c r="ZX253" s="47"/>
      <c r="ZY253" s="619"/>
      <c r="ZZ253" s="50"/>
      <c r="AAA253" s="590"/>
      <c r="AAB253"/>
      <c r="AAC253"/>
      <c r="AAD253" s="113"/>
      <c r="AAE253" s="553">
        <f t="shared" si="909"/>
        <v>1</v>
      </c>
      <c r="AAF253" s="585" t="s">
        <v>199</v>
      </c>
      <c r="AAG253" s="78">
        <f>S.FirstHearingDate</f>
        <v>41502</v>
      </c>
      <c r="AAH253" s="39" t="s">
        <v>0</v>
      </c>
      <c r="AAI253" s="39"/>
      <c r="AAJ253" s="56"/>
      <c r="AAK253" s="56"/>
      <c r="AAL253" s="56"/>
      <c r="AAM253" s="113"/>
      <c r="AAU253" s="44"/>
    </row>
    <row r="254" spans="1:732" s="23" customFormat="1" ht="15" outlineLevel="1">
      <c r="A254" s="560"/>
      <c r="B254" s="490" t="s">
        <v>232</v>
      </c>
      <c r="C254" s="169"/>
      <c r="D254" s="746" t="s">
        <v>314</v>
      </c>
      <c r="E254" s="746"/>
      <c r="F254" s="746"/>
      <c r="G254" s="530">
        <f>AAG254</f>
        <v>41502</v>
      </c>
      <c r="H254" s="530" t="str">
        <f>AAH254</f>
        <v>5 p.m.</v>
      </c>
      <c r="I254" s="629"/>
      <c r="J254" s="594"/>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c r="CH254" s="50"/>
      <c r="CI254" s="50"/>
      <c r="CJ254" s="50"/>
      <c r="CK254" s="50"/>
      <c r="CL254" s="50"/>
      <c r="CM254" s="50"/>
      <c r="CN254" s="50"/>
      <c r="CO254" s="50"/>
      <c r="CP254" s="50"/>
      <c r="CQ254" s="50"/>
      <c r="CR254" s="50"/>
      <c r="CS254" s="50"/>
      <c r="CT254" s="50"/>
      <c r="CU254" s="50"/>
      <c r="CV254" s="50"/>
      <c r="CW254" s="50"/>
      <c r="CX254" s="50"/>
      <c r="CY254" s="50"/>
      <c r="CZ254" s="50"/>
      <c r="DA254" s="50"/>
      <c r="DB254" s="50"/>
      <c r="DC254" s="50"/>
      <c r="DD254" s="50"/>
      <c r="DE254" s="50"/>
      <c r="DF254" s="50"/>
      <c r="DG254" s="50"/>
      <c r="DH254" s="50"/>
      <c r="DI254" s="50"/>
      <c r="DJ254" s="50"/>
      <c r="DK254" s="50"/>
      <c r="DL254" s="50"/>
      <c r="DM254" s="50"/>
      <c r="DN254" s="50"/>
      <c r="DO254" s="50"/>
      <c r="DP254" s="50"/>
      <c r="DQ254" s="50"/>
      <c r="DR254" s="50"/>
      <c r="DS254" s="50"/>
      <c r="DT254" s="50"/>
      <c r="DU254" s="50"/>
      <c r="DV254" s="50"/>
      <c r="DW254" s="50"/>
      <c r="DX254" s="50"/>
      <c r="DY254" s="50"/>
      <c r="DZ254" s="50"/>
      <c r="EA254" s="50"/>
      <c r="EB254" s="50"/>
      <c r="EC254" s="50"/>
      <c r="ED254" s="50"/>
      <c r="EE254" s="50"/>
      <c r="EF254" s="50"/>
      <c r="EG254" s="50"/>
      <c r="EH254" s="50"/>
      <c r="EI254" s="50"/>
      <c r="EJ254" s="50"/>
      <c r="EK254" s="50"/>
      <c r="EL254" s="50"/>
      <c r="EM254" s="50"/>
      <c r="EN254" s="50"/>
      <c r="EO254" s="50"/>
      <c r="EP254" s="50"/>
      <c r="EQ254" s="50"/>
      <c r="ER254" s="50"/>
      <c r="ES254" s="50"/>
      <c r="ET254" s="50"/>
      <c r="EU254" s="50"/>
      <c r="EV254" s="50"/>
      <c r="EW254" s="50"/>
      <c r="EX254" s="50"/>
      <c r="EY254" s="50"/>
      <c r="EZ254" s="50"/>
      <c r="FA254" s="50"/>
      <c r="FB254" s="50"/>
      <c r="FC254" s="50"/>
      <c r="FD254" s="50"/>
      <c r="FE254" s="50"/>
      <c r="FF254" s="50"/>
      <c r="FG254" s="50"/>
      <c r="FH254" s="50"/>
      <c r="FI254" s="50"/>
      <c r="FJ254" s="50"/>
      <c r="FK254" s="50"/>
      <c r="FL254" s="50"/>
      <c r="FM254" s="50"/>
      <c r="FN254" s="50"/>
      <c r="FO254" s="50"/>
      <c r="FP254" s="50"/>
      <c r="FQ254" s="50"/>
      <c r="FR254" s="50"/>
      <c r="FS254" s="50"/>
      <c r="FT254" s="50"/>
      <c r="FU254" s="50"/>
      <c r="FV254" s="50"/>
      <c r="FW254" s="50"/>
      <c r="FX254" s="50"/>
      <c r="FY254" s="50"/>
      <c r="FZ254" s="50"/>
      <c r="GA254" s="50"/>
      <c r="GB254" s="50"/>
      <c r="GC254" s="50"/>
      <c r="GD254" s="50"/>
      <c r="GE254" s="50"/>
      <c r="GF254" s="50"/>
      <c r="GG254" s="50"/>
      <c r="GH254" s="50"/>
      <c r="GI254" s="50"/>
      <c r="GJ254" s="50"/>
      <c r="GK254" s="50"/>
      <c r="GL254" s="50"/>
      <c r="GM254" s="50"/>
      <c r="GN254" s="50"/>
      <c r="GO254" s="50"/>
      <c r="GP254" s="50"/>
      <c r="GQ254" s="50"/>
      <c r="GR254" s="50"/>
      <c r="GS254" s="50"/>
      <c r="GT254" s="50"/>
      <c r="GU254" s="50"/>
      <c r="GV254" s="50"/>
      <c r="GW254" s="50"/>
      <c r="GX254" s="50"/>
      <c r="GY254" s="50"/>
      <c r="GZ254" s="50"/>
      <c r="HA254" s="50"/>
      <c r="HB254" s="50"/>
      <c r="HC254" s="50"/>
      <c r="HD254" s="50"/>
      <c r="HE254" s="50"/>
      <c r="HF254" s="50"/>
      <c r="HG254" s="50"/>
      <c r="HH254" s="50"/>
      <c r="HI254" s="50"/>
      <c r="HJ254" s="50"/>
      <c r="HK254" s="50"/>
      <c r="HL254" s="50"/>
      <c r="HM254" s="50"/>
      <c r="HN254" s="50"/>
      <c r="HO254" s="50"/>
      <c r="HP254" s="50"/>
      <c r="HQ254" s="50"/>
      <c r="HR254" s="50"/>
      <c r="HS254" s="50"/>
      <c r="HT254" s="50"/>
      <c r="HU254" s="50"/>
      <c r="HV254" s="50"/>
      <c r="HW254" s="50"/>
      <c r="HX254" s="50"/>
      <c r="HY254" s="50"/>
      <c r="HZ254" s="50"/>
      <c r="IA254" s="50"/>
      <c r="IB254" s="50"/>
      <c r="IC254" s="50"/>
      <c r="ID254" s="50"/>
      <c r="IE254" s="50"/>
      <c r="IF254" s="50"/>
      <c r="IG254" s="50"/>
      <c r="IH254" s="50"/>
      <c r="II254" s="50"/>
      <c r="IJ254" s="50"/>
      <c r="IK254" s="50"/>
      <c r="IL254" s="50"/>
      <c r="IM254" s="50"/>
      <c r="IN254" s="50"/>
      <c r="IO254" s="50"/>
      <c r="IP254" s="50"/>
      <c r="IQ254" s="50"/>
      <c r="IR254" s="50"/>
      <c r="IS254" s="50"/>
      <c r="IT254" s="50"/>
      <c r="IU254" s="50"/>
      <c r="IV254" s="50"/>
      <c r="IW254" s="50"/>
      <c r="IX254" s="50"/>
      <c r="IY254" s="50"/>
      <c r="IZ254" s="50"/>
      <c r="JA254" s="50"/>
      <c r="JB254" s="50"/>
      <c r="JC254" s="50"/>
      <c r="JD254" s="50"/>
      <c r="JE254" s="50"/>
      <c r="JF254" s="50"/>
      <c r="JG254" s="50"/>
      <c r="JH254" s="50"/>
      <c r="JI254" s="50"/>
      <c r="JJ254" s="50"/>
      <c r="JK254" s="50"/>
      <c r="JL254" s="50"/>
      <c r="JM254" s="50"/>
      <c r="JN254" s="50"/>
      <c r="JO254" s="50"/>
      <c r="JP254" s="50"/>
      <c r="JQ254" s="50"/>
      <c r="JR254" s="50"/>
      <c r="JS254" s="50"/>
      <c r="JT254" s="50"/>
      <c r="JU254" s="50"/>
      <c r="JV254" s="50"/>
      <c r="JW254" s="50"/>
      <c r="JX254" s="50"/>
      <c r="JY254" s="50"/>
      <c r="JZ254" s="50"/>
      <c r="KA254" s="50"/>
      <c r="KB254" s="50"/>
      <c r="KC254" s="50"/>
      <c r="KD254" s="50"/>
      <c r="KE254" s="50"/>
      <c r="KF254" s="50"/>
      <c r="KG254" s="50"/>
      <c r="KH254" s="50"/>
      <c r="KI254" s="50"/>
      <c r="KJ254" s="50"/>
      <c r="KK254" s="50"/>
      <c r="KL254" s="50"/>
      <c r="KM254" s="50"/>
      <c r="KN254" s="50"/>
      <c r="KO254" s="50"/>
      <c r="KP254" s="50"/>
      <c r="KQ254" s="50"/>
      <c r="KR254" s="50"/>
      <c r="KS254" s="50"/>
      <c r="KT254" s="50"/>
      <c r="KU254" s="50"/>
      <c r="KV254" s="50"/>
      <c r="KW254" s="50"/>
      <c r="KX254" s="50"/>
      <c r="KY254" s="50"/>
      <c r="KZ254" s="50"/>
      <c r="LA254" s="50"/>
      <c r="LB254" s="50"/>
      <c r="LC254" s="50"/>
      <c r="LD254" s="50"/>
      <c r="LE254" s="50"/>
      <c r="LF254" s="50"/>
      <c r="LG254" s="50"/>
      <c r="LH254" s="50"/>
      <c r="LI254" s="50"/>
      <c r="LJ254" s="50"/>
      <c r="LK254" s="50"/>
      <c r="LL254" s="50"/>
      <c r="LM254" s="50"/>
      <c r="LN254" s="50"/>
      <c r="LO254" s="50"/>
      <c r="LP254" s="50"/>
      <c r="LQ254" s="50"/>
      <c r="LR254" s="50"/>
      <c r="LS254" s="50"/>
      <c r="LT254" s="50"/>
      <c r="LU254" s="50"/>
      <c r="LV254" s="50"/>
      <c r="LW254" s="50"/>
      <c r="LX254" s="50"/>
      <c r="LY254" s="50"/>
      <c r="LZ254" s="50"/>
      <c r="MA254" s="50"/>
      <c r="MB254" s="50"/>
      <c r="MC254" s="50"/>
      <c r="MD254" s="50"/>
      <c r="ME254" s="50"/>
      <c r="MF254" s="50"/>
      <c r="MG254" s="50"/>
      <c r="MH254" s="50"/>
      <c r="MI254" s="50"/>
      <c r="MJ254" s="50"/>
      <c r="MK254" s="50"/>
      <c r="ML254" s="50"/>
      <c r="MM254" s="50"/>
      <c r="MN254" s="50"/>
      <c r="MO254" s="50"/>
      <c r="MP254" s="50"/>
      <c r="MQ254" s="50"/>
      <c r="MR254" s="50"/>
      <c r="MS254" s="50"/>
      <c r="MT254" s="50"/>
      <c r="MU254" s="50"/>
      <c r="MV254" s="50"/>
      <c r="MW254" s="50"/>
      <c r="MX254" s="50"/>
      <c r="MY254" s="50"/>
      <c r="MZ254" s="50"/>
      <c r="NA254" s="50"/>
      <c r="NB254" s="50"/>
      <c r="NC254" s="50"/>
      <c r="ND254" s="50"/>
      <c r="NE254" s="50"/>
      <c r="NF254" s="50"/>
      <c r="NG254" s="50"/>
      <c r="NH254" s="50"/>
      <c r="NI254" s="50"/>
      <c r="NJ254" s="50"/>
      <c r="NK254" s="50"/>
      <c r="NL254" s="50"/>
      <c r="NM254" s="50"/>
      <c r="NN254" s="50"/>
      <c r="NO254" s="50"/>
      <c r="NP254" s="50"/>
      <c r="NQ254" s="50"/>
      <c r="NR254" s="50"/>
      <c r="NS254" s="50"/>
      <c r="NT254" s="50"/>
      <c r="NU254" s="50"/>
      <c r="NV254" s="50"/>
      <c r="NW254" s="50"/>
      <c r="NX254" s="50"/>
      <c r="NY254" s="50"/>
      <c r="NZ254" s="50"/>
      <c r="OA254" s="50"/>
      <c r="OB254" s="50"/>
      <c r="OC254" s="50"/>
      <c r="OD254" s="50"/>
      <c r="OE254" s="50"/>
      <c r="OF254" s="50"/>
      <c r="OG254" s="50"/>
      <c r="OH254" s="50"/>
      <c r="OI254" s="50"/>
      <c r="OJ254" s="50"/>
      <c r="OK254" s="50"/>
      <c r="OL254" s="50"/>
      <c r="OM254" s="50"/>
      <c r="ON254" s="50"/>
      <c r="OO254" s="50"/>
      <c r="OP254" s="50"/>
      <c r="OQ254" s="50"/>
      <c r="OR254" s="50"/>
      <c r="OS254" s="50"/>
      <c r="OT254" s="50"/>
      <c r="OU254" s="50"/>
      <c r="OV254" s="50"/>
      <c r="OW254" s="50"/>
      <c r="OX254" s="50"/>
      <c r="OY254" s="50"/>
      <c r="OZ254" s="50"/>
      <c r="PA254" s="50"/>
      <c r="PB254" s="50"/>
      <c r="PC254" s="50"/>
      <c r="PD254" s="50"/>
      <c r="PE254" s="50"/>
      <c r="PF254" s="50"/>
      <c r="PG254" s="50"/>
      <c r="PH254" s="50"/>
      <c r="PI254" s="50"/>
      <c r="PJ254" s="50"/>
      <c r="PK254" s="50"/>
      <c r="PL254" s="50"/>
      <c r="PM254" s="50"/>
      <c r="PN254" s="50"/>
      <c r="PO254" s="50"/>
      <c r="PP254" s="50"/>
      <c r="PQ254" s="50"/>
      <c r="PR254" s="50"/>
      <c r="PS254" s="50"/>
      <c r="PT254" s="50"/>
      <c r="PU254" s="50"/>
      <c r="PV254" s="50"/>
      <c r="PW254" s="50"/>
      <c r="PX254" s="50"/>
      <c r="PY254" s="50"/>
      <c r="PZ254" s="50"/>
      <c r="QA254" s="50"/>
      <c r="QB254" s="50"/>
      <c r="QC254" s="50"/>
      <c r="QD254" s="50"/>
      <c r="QE254" s="50"/>
      <c r="QF254" s="50"/>
      <c r="QG254" s="50"/>
      <c r="QH254" s="50"/>
      <c r="QI254" s="50"/>
      <c r="QJ254" s="50"/>
      <c r="QK254" s="50"/>
      <c r="QL254" s="50"/>
      <c r="QM254" s="50"/>
      <c r="QN254" s="50"/>
      <c r="QO254" s="50"/>
      <c r="QP254" s="50"/>
      <c r="QQ254" s="50"/>
      <c r="QR254" s="50"/>
      <c r="QS254" s="50"/>
      <c r="QT254" s="50"/>
      <c r="QU254" s="50"/>
      <c r="QV254" s="50"/>
      <c r="QW254" s="50"/>
      <c r="QX254" s="50"/>
      <c r="QY254" s="50"/>
      <c r="QZ254" s="50"/>
      <c r="RA254" s="50"/>
      <c r="RB254" s="50"/>
      <c r="RC254" s="50"/>
      <c r="RD254" s="50"/>
      <c r="RE254" s="50"/>
      <c r="RF254" s="50"/>
      <c r="RG254" s="50"/>
      <c r="RH254" s="50"/>
      <c r="RI254" s="50"/>
      <c r="RJ254" s="50"/>
      <c r="RK254" s="50"/>
      <c r="RL254" s="50"/>
      <c r="RM254" s="50"/>
      <c r="RN254" s="50"/>
      <c r="RO254" s="50"/>
      <c r="RP254" s="50"/>
      <c r="RQ254" s="50"/>
      <c r="RR254" s="50"/>
      <c r="RS254" s="50"/>
      <c r="RT254" s="50"/>
      <c r="RU254" s="50"/>
      <c r="RV254" s="50"/>
      <c r="RW254" s="50"/>
      <c r="RX254" s="50"/>
      <c r="RY254" s="50"/>
      <c r="RZ254" s="50"/>
      <c r="SA254" s="50"/>
      <c r="SB254" s="50"/>
      <c r="SC254" s="50"/>
      <c r="SD254" s="50"/>
      <c r="SE254" s="50"/>
      <c r="SF254" s="50"/>
      <c r="SG254" s="50"/>
      <c r="SH254" s="50"/>
      <c r="SI254" s="50"/>
      <c r="SJ254" s="50"/>
      <c r="SK254" s="50"/>
      <c r="SL254" s="50"/>
      <c r="SM254" s="50"/>
      <c r="SN254" s="50"/>
      <c r="SO254" s="50"/>
      <c r="SP254" s="50"/>
      <c r="SQ254" s="50"/>
      <c r="SR254" s="50"/>
      <c r="SS254" s="50"/>
      <c r="ST254" s="50"/>
      <c r="SU254" s="50"/>
      <c r="SV254" s="50"/>
      <c r="SW254" s="50"/>
      <c r="SX254" s="50"/>
      <c r="SY254" s="50"/>
      <c r="SZ254" s="50"/>
      <c r="TA254" s="50"/>
      <c r="TB254" s="50"/>
      <c r="TC254" s="50"/>
      <c r="TD254" s="50"/>
      <c r="TE254" s="50"/>
      <c r="TF254" s="50"/>
      <c r="TG254" s="50"/>
      <c r="TH254" s="50"/>
      <c r="TI254" s="50"/>
      <c r="TJ254" s="50"/>
      <c r="TK254" s="50"/>
      <c r="TL254" s="50"/>
      <c r="TM254" s="50"/>
      <c r="TN254" s="50"/>
      <c r="TO254" s="50"/>
      <c r="TP254" s="50"/>
      <c r="TQ254" s="50"/>
      <c r="TR254" s="50"/>
      <c r="TS254" s="50"/>
      <c r="TT254" s="50"/>
      <c r="TU254" s="50"/>
      <c r="TV254" s="50"/>
      <c r="TW254" s="50"/>
      <c r="TX254" s="50"/>
      <c r="TY254" s="50"/>
      <c r="TZ254" s="50"/>
      <c r="UA254" s="50"/>
      <c r="UB254" s="50"/>
      <c r="UC254" s="50"/>
      <c r="UD254" s="50"/>
      <c r="UE254" s="50"/>
      <c r="UF254" s="50"/>
      <c r="UG254" s="50"/>
      <c r="UH254" s="50"/>
      <c r="UI254" s="50"/>
      <c r="UJ254" s="50"/>
      <c r="UK254" s="50"/>
      <c r="UL254" s="50"/>
      <c r="UM254" s="50"/>
      <c r="UN254" s="50"/>
      <c r="UO254" s="50"/>
      <c r="UP254" s="50"/>
      <c r="UQ254" s="50"/>
      <c r="UR254" s="50"/>
      <c r="US254" s="50"/>
      <c r="UT254" s="50"/>
      <c r="UU254" s="50"/>
      <c r="UV254" s="50"/>
      <c r="UW254" s="50"/>
      <c r="UX254" s="50"/>
      <c r="UY254" s="50"/>
      <c r="UZ254" s="50"/>
      <c r="VA254" s="50"/>
      <c r="VB254" s="50"/>
      <c r="VC254" s="50"/>
      <c r="VD254" s="50"/>
      <c r="VE254" s="50"/>
      <c r="VF254" s="50"/>
      <c r="VG254" s="50"/>
      <c r="VH254" s="50"/>
      <c r="VI254" s="50"/>
      <c r="VJ254" s="50"/>
      <c r="VK254" s="50"/>
      <c r="VL254" s="50"/>
      <c r="VM254" s="50"/>
      <c r="VN254" s="50"/>
      <c r="VO254" s="50"/>
      <c r="VP254" s="50"/>
      <c r="VQ254" s="50"/>
      <c r="VR254" s="50"/>
      <c r="VS254" s="50"/>
      <c r="VT254" s="50"/>
      <c r="VU254" s="50"/>
      <c r="VV254" s="50"/>
      <c r="VW254" s="50"/>
      <c r="VX254" s="50"/>
      <c r="VY254" s="50"/>
      <c r="VZ254" s="50"/>
      <c r="WA254" s="50"/>
      <c r="WB254" s="50"/>
      <c r="WC254" s="50"/>
      <c r="WD254" s="50"/>
      <c r="WE254" s="50"/>
      <c r="WF254" s="50"/>
      <c r="WG254" s="50"/>
      <c r="WH254" s="50"/>
      <c r="WI254" s="50"/>
      <c r="WJ254" s="50"/>
      <c r="WK254" s="50"/>
      <c r="WL254" s="50"/>
      <c r="WM254" s="50"/>
      <c r="WN254" s="50"/>
      <c r="WO254" s="50"/>
      <c r="WP254" s="50"/>
      <c r="WQ254" s="50"/>
      <c r="WR254" s="50"/>
      <c r="WS254" s="50"/>
      <c r="WT254" s="50"/>
      <c r="WU254" s="50"/>
      <c r="WV254" s="50"/>
      <c r="WW254" s="50"/>
      <c r="WX254" s="50"/>
      <c r="WY254" s="50"/>
      <c r="WZ254" s="50"/>
      <c r="XA254" s="50"/>
      <c r="XB254" s="50"/>
      <c r="XC254" s="50"/>
      <c r="XD254" s="50"/>
      <c r="XE254" s="50"/>
      <c r="XF254" s="50"/>
      <c r="XG254" s="50"/>
      <c r="XH254" s="50"/>
      <c r="XI254" s="50"/>
      <c r="XJ254" s="50"/>
      <c r="XK254" s="50"/>
      <c r="XL254" s="50"/>
      <c r="XM254" s="50"/>
      <c r="XN254" s="50"/>
      <c r="XO254" s="50"/>
      <c r="XP254" s="50"/>
      <c r="XQ254" s="50"/>
      <c r="XR254" s="50"/>
      <c r="XS254" s="50"/>
      <c r="XT254" s="50"/>
      <c r="XU254" s="50"/>
      <c r="XV254" s="50"/>
      <c r="XW254" s="50"/>
      <c r="XX254" s="50"/>
      <c r="XY254" s="50"/>
      <c r="XZ254" s="50"/>
      <c r="YA254" s="50"/>
      <c r="YB254" s="50"/>
      <c r="YC254" s="50"/>
      <c r="YD254" s="50"/>
      <c r="YE254" s="50"/>
      <c r="YF254" s="50"/>
      <c r="YG254" s="50"/>
      <c r="YH254" s="50"/>
      <c r="YI254" s="50"/>
      <c r="YJ254" s="50"/>
      <c r="YK254" s="50"/>
      <c r="YL254" s="50"/>
      <c r="YM254" s="50"/>
      <c r="YN254" s="50"/>
      <c r="YO254" s="50"/>
      <c r="YP254" s="50"/>
      <c r="YQ254" s="50"/>
      <c r="YR254" s="50"/>
      <c r="YS254" s="50"/>
      <c r="YT254" s="50"/>
      <c r="YU254" s="50"/>
      <c r="YV254" s="50"/>
      <c r="YW254" s="50"/>
      <c r="YX254" s="50"/>
      <c r="YY254" s="50"/>
      <c r="YZ254" s="50"/>
      <c r="ZA254" s="50"/>
      <c r="ZB254" s="50"/>
      <c r="ZC254" s="50"/>
      <c r="ZD254" s="50"/>
      <c r="ZE254" s="50"/>
      <c r="ZF254" s="50"/>
      <c r="ZG254" s="50"/>
      <c r="ZH254" s="50"/>
      <c r="ZI254" s="50"/>
      <c r="ZJ254" s="50"/>
      <c r="ZK254" s="50"/>
      <c r="ZL254" s="50"/>
      <c r="ZM254" s="50"/>
      <c r="ZN254" s="50"/>
      <c r="ZO254" s="50"/>
      <c r="ZP254" s="50"/>
      <c r="ZQ254" s="50"/>
      <c r="ZR254" s="50"/>
      <c r="ZS254" s="50"/>
      <c r="ZT254" s="50"/>
      <c r="ZU254" s="50"/>
      <c r="ZV254" s="50"/>
      <c r="ZW254" s="50"/>
      <c r="ZX254" s="50"/>
      <c r="ZY254" s="620"/>
      <c r="ZZ254" s="50"/>
      <c r="AAA254" s="590"/>
      <c r="AAB254"/>
      <c r="AAC254"/>
      <c r="AAD254" s="113"/>
      <c r="AAE254" s="553">
        <f t="shared" si="909"/>
        <v>1</v>
      </c>
      <c r="AAF254" s="585" t="s">
        <v>199</v>
      </c>
      <c r="AAG254" s="78">
        <f>G253</f>
        <v>41502</v>
      </c>
      <c r="AAH254" s="532" t="str">
        <f>H253</f>
        <v>5 p.m.</v>
      </c>
      <c r="AAI254" s="77"/>
      <c r="AAJ254" s="77"/>
      <c r="AAK254" s="77"/>
      <c r="AAL254" s="79"/>
      <c r="AAM254" s="113"/>
      <c r="AAU254" s="44"/>
    </row>
    <row r="255" spans="1:732" s="23" customFormat="1" ht="15" outlineLevel="1">
      <c r="A255" s="560"/>
      <c r="B255" s="490" t="s">
        <v>233</v>
      </c>
      <c r="C255" s="169"/>
      <c r="D255" s="746" t="s">
        <v>314</v>
      </c>
      <c r="E255" s="746"/>
      <c r="F255" s="746"/>
      <c r="G255" s="530">
        <f t="shared" ref="G255:G260" si="910">AAG255</f>
        <v>41502</v>
      </c>
      <c r="H255" s="530" t="str">
        <f t="shared" ref="H255:H259" si="911">AAH255</f>
        <v>5 p.m.</v>
      </c>
      <c r="I255" s="629"/>
      <c r="J255" s="594"/>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20"/>
      <c r="ZZ255" s="50"/>
      <c r="AAA255" s="590"/>
      <c r="AAB255"/>
      <c r="AAC255"/>
      <c r="AAD255" s="113"/>
      <c r="AAE255" s="553">
        <f t="shared" si="909"/>
        <v>1</v>
      </c>
      <c r="AAF255" s="585" t="s">
        <v>199</v>
      </c>
      <c r="AAG255" s="78">
        <f>G253</f>
        <v>41502</v>
      </c>
      <c r="AAH255" s="532" t="str">
        <f>H253</f>
        <v>5 p.m.</v>
      </c>
      <c r="AAI255" s="77"/>
      <c r="AAJ255" s="57"/>
      <c r="AAK255" s="57"/>
      <c r="AAL255" s="80"/>
      <c r="AAM255" s="113"/>
      <c r="AAU255" s="44"/>
    </row>
    <row r="256" spans="1:732" s="23" customFormat="1" ht="15" outlineLevel="1">
      <c r="A256" s="560"/>
      <c r="B256" s="490" t="s">
        <v>234</v>
      </c>
      <c r="C256" s="169"/>
      <c r="D256" s="746" t="s">
        <v>314</v>
      </c>
      <c r="E256" s="746"/>
      <c r="F256" s="746"/>
      <c r="G256" s="530">
        <f t="shared" si="910"/>
        <v>41502</v>
      </c>
      <c r="H256" s="530" t="str">
        <f t="shared" si="911"/>
        <v>5 p.m.</v>
      </c>
      <c r="I256" s="629"/>
      <c r="J256" s="594"/>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20"/>
      <c r="ZZ256" s="50"/>
      <c r="AAA256" s="590"/>
      <c r="AAB256"/>
      <c r="AAC256"/>
      <c r="AAD256" s="113"/>
      <c r="AAE256" s="553">
        <f t="shared" si="909"/>
        <v>1</v>
      </c>
      <c r="AAF256" s="585" t="s">
        <v>199</v>
      </c>
      <c r="AAG256" s="78">
        <f>G253</f>
        <v>41502</v>
      </c>
      <c r="AAH256" s="532" t="str">
        <f>H253</f>
        <v>5 p.m.</v>
      </c>
      <c r="AAI256" s="77"/>
      <c r="AAJ256" s="57"/>
      <c r="AAK256" s="57"/>
      <c r="AAL256" s="80"/>
      <c r="AAM256" s="113"/>
      <c r="AAU256" s="44"/>
    </row>
    <row r="257" spans="1:732" s="23" customFormat="1" ht="15" outlineLevel="1">
      <c r="A257" s="560"/>
      <c r="B257" s="490" t="s">
        <v>235</v>
      </c>
      <c r="C257" s="169"/>
      <c r="D257" s="746" t="s">
        <v>314</v>
      </c>
      <c r="E257" s="746"/>
      <c r="F257" s="746"/>
      <c r="G257" s="530">
        <f t="shared" si="910"/>
        <v>41502</v>
      </c>
      <c r="H257" s="530" t="str">
        <f t="shared" si="911"/>
        <v>5 p.m.</v>
      </c>
      <c r="I257" s="629"/>
      <c r="J257" s="594"/>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20"/>
      <c r="ZZ257" s="50"/>
      <c r="AAA257" s="590"/>
      <c r="AAB257"/>
      <c r="AAC257"/>
      <c r="AAD257" s="113"/>
      <c r="AAE257" s="553">
        <f t="shared" si="909"/>
        <v>1</v>
      </c>
      <c r="AAF257" s="585" t="s">
        <v>199</v>
      </c>
      <c r="AAG257" s="78">
        <f>G253</f>
        <v>41502</v>
      </c>
      <c r="AAH257" s="532" t="str">
        <f>H253</f>
        <v>5 p.m.</v>
      </c>
      <c r="AAI257" s="77"/>
      <c r="AAJ257" s="57"/>
      <c r="AAK257" s="57"/>
      <c r="AAL257" s="80"/>
      <c r="AAM257" s="113"/>
      <c r="AAU257" s="44"/>
    </row>
    <row r="258" spans="1:732" s="23" customFormat="1" ht="15" outlineLevel="1">
      <c r="A258" s="560"/>
      <c r="B258" s="490" t="s">
        <v>236</v>
      </c>
      <c r="C258" s="169"/>
      <c r="D258" s="746" t="s">
        <v>314</v>
      </c>
      <c r="E258" s="746"/>
      <c r="F258" s="746"/>
      <c r="G258" s="530">
        <f t="shared" si="910"/>
        <v>41502</v>
      </c>
      <c r="H258" s="530" t="str">
        <f t="shared" si="911"/>
        <v>5 p.m.</v>
      </c>
      <c r="I258" s="629"/>
      <c r="J258" s="594"/>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20"/>
      <c r="ZZ258" s="50"/>
      <c r="AAA258" s="590"/>
      <c r="AAB258"/>
      <c r="AAC258"/>
      <c r="AAD258" s="113"/>
      <c r="AAE258" s="553">
        <f t="shared" si="909"/>
        <v>1</v>
      </c>
      <c r="AAF258" s="585" t="s">
        <v>199</v>
      </c>
      <c r="AAG258" s="78">
        <f>G253</f>
        <v>41502</v>
      </c>
      <c r="AAH258" s="532" t="str">
        <f>H253</f>
        <v>5 p.m.</v>
      </c>
      <c r="AAI258" s="77"/>
      <c r="AAJ258" s="57"/>
      <c r="AAK258" s="57"/>
      <c r="AAL258" s="80"/>
      <c r="AAM258" s="113"/>
      <c r="AAU258" s="44"/>
    </row>
    <row r="259" spans="1:732" s="23" customFormat="1" ht="15" outlineLevel="1">
      <c r="A259" s="560"/>
      <c r="B259" s="490" t="s">
        <v>237</v>
      </c>
      <c r="C259" s="169"/>
      <c r="D259" s="746" t="s">
        <v>314</v>
      </c>
      <c r="E259" s="746"/>
      <c r="F259" s="746"/>
      <c r="G259" s="530">
        <f t="shared" si="910"/>
        <v>41502</v>
      </c>
      <c r="H259" s="530" t="str">
        <f t="shared" si="911"/>
        <v>5 p.m.</v>
      </c>
      <c r="I259" s="629"/>
      <c r="J259" s="594"/>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20"/>
      <c r="ZZ259" s="50"/>
      <c r="AAA259" s="590"/>
      <c r="AAB259"/>
      <c r="AAC259"/>
      <c r="AAD259" s="113"/>
      <c r="AAE259" s="553">
        <f t="shared" si="909"/>
        <v>1</v>
      </c>
      <c r="AAF259" s="585" t="s">
        <v>199</v>
      </c>
      <c r="AAG259" s="78">
        <f>G253</f>
        <v>41502</v>
      </c>
      <c r="AAH259" s="532" t="str">
        <f>H253</f>
        <v>5 p.m.</v>
      </c>
      <c r="AAI259" s="77"/>
      <c r="AAJ259" s="57"/>
      <c r="AAK259" s="57"/>
      <c r="AAL259" s="80"/>
      <c r="AAM259" s="113"/>
      <c r="AAU259" s="44"/>
    </row>
    <row r="260" spans="1:732" s="23" customFormat="1" ht="15">
      <c r="A260" s="560"/>
      <c r="B260" s="491" t="s">
        <v>238</v>
      </c>
      <c r="C260" s="169"/>
      <c r="D260" s="746" t="s">
        <v>314</v>
      </c>
      <c r="E260" s="746"/>
      <c r="F260" s="746"/>
      <c r="G260" s="530">
        <f t="shared" si="910"/>
        <v>41502</v>
      </c>
      <c r="H260" s="531" t="str">
        <f>H253</f>
        <v>5 p.m.</v>
      </c>
      <c r="I260" s="629"/>
      <c r="J260" s="594"/>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20"/>
      <c r="ZZ260" s="50"/>
      <c r="AAA260" s="590"/>
      <c r="AAB260"/>
      <c r="AAC260"/>
      <c r="AAD260" s="113"/>
      <c r="AAE260" s="553">
        <f t="shared" si="909"/>
        <v>1</v>
      </c>
      <c r="AAF260" s="585" t="s">
        <v>199</v>
      </c>
      <c r="AAG260" s="78">
        <f>G253</f>
        <v>41502</v>
      </c>
      <c r="AAH260" s="532" t="str">
        <f>H253</f>
        <v>5 p.m.</v>
      </c>
      <c r="AAI260" s="77"/>
      <c r="AAJ260" s="57"/>
      <c r="AAK260" s="57"/>
      <c r="AAL260" s="80"/>
      <c r="AAM260" s="113"/>
      <c r="AAU260" s="44"/>
      <c r="AAV260"/>
      <c r="AAW260"/>
      <c r="AAX260"/>
      <c r="AAY260"/>
      <c r="AAZ260"/>
      <c r="ABA260"/>
      <c r="ABB260"/>
      <c r="ABC260"/>
      <c r="ABD260"/>
    </row>
    <row r="261" spans="1:732" s="23" customFormat="1" ht="15" outlineLevel="1">
      <c r="A261" s="560"/>
      <c r="B261" s="411" t="s">
        <v>193</v>
      </c>
      <c r="C261" s="169"/>
      <c r="D261" s="278" t="s">
        <v>176</v>
      </c>
      <c r="E261" s="369">
        <f>NETWORKDAYS(G261,H261,S.DDL_DEQClosed)</f>
        <v>1</v>
      </c>
      <c r="F261" s="494">
        <f t="shared" ref="F261" ca="1" si="912">NETWORKDAYS(TODAY(),H261)</f>
        <v>-9</v>
      </c>
      <c r="G261" s="528">
        <f t="shared" ref="G261:H275" si="913">AAG261</f>
        <v>41369</v>
      </c>
      <c r="H261" s="528">
        <f t="shared" si="913"/>
        <v>41369</v>
      </c>
      <c r="I261" s="629"/>
      <c r="J261" s="594"/>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20"/>
      <c r="ZZ261" s="50"/>
      <c r="AAA261" s="590"/>
      <c r="AAB261"/>
      <c r="AAC261"/>
      <c r="AAD261" s="113"/>
      <c r="AAE261" s="553">
        <f t="shared" si="909"/>
        <v>1</v>
      </c>
      <c r="AAF261" s="113"/>
      <c r="AAG261" s="78">
        <f t="shared" ref="AAG261" si="914">S.BANNER.NoticeStart</f>
        <v>41369</v>
      </c>
      <c r="AAH261" s="78">
        <f>G261</f>
        <v>41369</v>
      </c>
      <c r="AAI261" s="63"/>
      <c r="AAJ261" s="57"/>
      <c r="AAK261" s="57"/>
      <c r="AAL261" s="57"/>
      <c r="AAM261" s="113"/>
      <c r="AAU261" s="44"/>
      <c r="AAV261"/>
      <c r="AAW261"/>
      <c r="AAX261"/>
      <c r="AAY261"/>
      <c r="AAZ261"/>
      <c r="ABA261"/>
      <c r="ABB261"/>
      <c r="ABC261"/>
      <c r="ABD261"/>
    </row>
    <row r="262" spans="1:732" ht="15" outlineLevel="2">
      <c r="A262" s="560"/>
      <c r="B262" s="430" t="s">
        <v>190</v>
      </c>
      <c r="C262" s="722"/>
      <c r="D262" s="178" t="s">
        <v>0</v>
      </c>
      <c r="E262" s="346" t="s">
        <v>0</v>
      </c>
      <c r="F262" s="215" t="s">
        <v>0</v>
      </c>
      <c r="G262" s="504"/>
      <c r="H262" s="357"/>
      <c r="I262" s="590"/>
      <c r="J262" s="594"/>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20"/>
      <c r="ZZ262" s="36"/>
      <c r="AAA262" s="590"/>
      <c r="AAD262" s="113"/>
      <c r="AAE262" s="553">
        <f t="shared" ref="AAE262:AAE280" si="915">IF(S.InvolveNotice=TRUE,1,0)</f>
        <v>1</v>
      </c>
      <c r="AAF262" s="585" t="s">
        <v>199</v>
      </c>
      <c r="AAG262" s="93" t="s">
        <v>74</v>
      </c>
      <c r="AAH262" s="76"/>
      <c r="AAI262" s="76"/>
      <c r="AAJ262" s="87"/>
      <c r="AAK262" s="87"/>
      <c r="AAL262" s="57"/>
      <c r="AAM262" s="113"/>
      <c r="AAN262"/>
      <c r="AAT262" s="23"/>
      <c r="AAU262" s="44"/>
    </row>
    <row r="263" spans="1:732" ht="15" outlineLevel="2">
      <c r="A263" s="560"/>
      <c r="B263" s="431" t="s">
        <v>377</v>
      </c>
      <c r="C263" s="492"/>
      <c r="D263" s="279" t="s">
        <v>168</v>
      </c>
      <c r="E263" s="369">
        <f t="shared" ref="E263:E268" si="916">NETWORKDAYS(G263,H263,S.DDL_DEQClosed)</f>
        <v>1</v>
      </c>
      <c r="F263" s="494">
        <f t="shared" ref="F263:F268" ca="1" si="917">NETWORKDAYS(TODAY(),H263)</f>
        <v>-9</v>
      </c>
      <c r="G263" s="528">
        <f t="shared" si="913"/>
        <v>41369</v>
      </c>
      <c r="H263" s="370">
        <f t="shared" ref="H263:H268" si="918">AAH263</f>
        <v>41369</v>
      </c>
      <c r="I263" s="629"/>
      <c r="J263" s="594"/>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20"/>
      <c r="ZZ263" s="50"/>
      <c r="AAA263" s="590"/>
      <c r="AAD263" s="113"/>
      <c r="AAE263" s="553">
        <f t="shared" si="915"/>
        <v>1</v>
      </c>
      <c r="AAF263" s="113"/>
      <c r="AAG263" s="78">
        <f>H261</f>
        <v>41369</v>
      </c>
      <c r="AAH263" s="78">
        <f>G263</f>
        <v>41369</v>
      </c>
      <c r="AAI263" s="63"/>
      <c r="AAJ263" s="57"/>
      <c r="AAK263" s="57"/>
      <c r="AAL263" s="57" t="s">
        <v>0</v>
      </c>
      <c r="AAM263" s="113"/>
      <c r="AAN263"/>
      <c r="AAT263" s="23"/>
      <c r="AAU263" s="44"/>
    </row>
    <row r="264" spans="1:732" ht="15" outlineLevel="2">
      <c r="A264" s="560"/>
      <c r="B264" s="431" t="s">
        <v>104</v>
      </c>
      <c r="C264" s="492"/>
      <c r="D264" s="279" t="s">
        <v>169</v>
      </c>
      <c r="E264" s="369">
        <f t="shared" si="916"/>
        <v>1</v>
      </c>
      <c r="F264" s="494">
        <f t="shared" ca="1" si="917"/>
        <v>-9</v>
      </c>
      <c r="G264" s="528">
        <f t="shared" si="913"/>
        <v>41369</v>
      </c>
      <c r="H264" s="370">
        <f t="shared" si="918"/>
        <v>41369</v>
      </c>
      <c r="I264" s="629"/>
      <c r="J264" s="594"/>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20"/>
      <c r="ZZ264" s="50"/>
      <c r="AAA264" s="590"/>
      <c r="AAD264" s="113"/>
      <c r="AAE264" s="553">
        <f t="shared" si="915"/>
        <v>1</v>
      </c>
      <c r="AAF264" s="113"/>
      <c r="AAG264" s="78">
        <f>H263</f>
        <v>41369</v>
      </c>
      <c r="AAH264" s="78">
        <f t="shared" ref="AAH264:AAH268" si="919">G264</f>
        <v>41369</v>
      </c>
      <c r="AAI264" s="63"/>
      <c r="AAJ264" s="57"/>
      <c r="AAK264" s="57"/>
      <c r="AAL264" s="57"/>
      <c r="AAM264" s="113"/>
      <c r="AAN264"/>
      <c r="AAT264" s="23"/>
      <c r="AAU264" s="44"/>
    </row>
    <row r="265" spans="1:732" ht="15" outlineLevel="2">
      <c r="A265" s="560"/>
      <c r="B265" s="432" t="s">
        <v>105</v>
      </c>
      <c r="C265" s="492"/>
      <c r="D265" s="280" t="s">
        <v>16</v>
      </c>
      <c r="E265" s="369">
        <f t="shared" si="916"/>
        <v>1</v>
      </c>
      <c r="F265" s="494">
        <f t="shared" ca="1" si="917"/>
        <v>-9</v>
      </c>
      <c r="G265" s="528">
        <f t="shared" si="913"/>
        <v>41369</v>
      </c>
      <c r="H265" s="370">
        <f t="shared" si="918"/>
        <v>41369</v>
      </c>
      <c r="I265" s="629"/>
      <c r="J265" s="594"/>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20"/>
      <c r="ZZ265" s="50"/>
      <c r="AAA265" s="590"/>
      <c r="AAD265" s="113"/>
      <c r="AAE265" s="553">
        <f t="shared" si="915"/>
        <v>1</v>
      </c>
      <c r="AAF265" s="113"/>
      <c r="AAG265" s="78">
        <f t="shared" ref="AAG265:AAG268" si="920">H264</f>
        <v>41369</v>
      </c>
      <c r="AAH265" s="78">
        <f t="shared" si="919"/>
        <v>41369</v>
      </c>
      <c r="AAI265" s="63"/>
      <c r="AAJ265" s="57"/>
      <c r="AAK265" s="57"/>
      <c r="AAL265" s="57"/>
      <c r="AAM265" s="113"/>
      <c r="AAN265"/>
      <c r="AAT265" s="23"/>
      <c r="AAU265" s="44"/>
    </row>
    <row r="266" spans="1:732" ht="15" outlineLevel="2">
      <c r="A266" s="560"/>
      <c r="B266" s="433" t="s">
        <v>106</v>
      </c>
      <c r="C266" s="492"/>
      <c r="D266" s="280" t="s">
        <v>16</v>
      </c>
      <c r="E266" s="369">
        <f t="shared" si="916"/>
        <v>1</v>
      </c>
      <c r="F266" s="494">
        <f t="shared" ca="1" si="917"/>
        <v>-9</v>
      </c>
      <c r="G266" s="528">
        <f t="shared" si="913"/>
        <v>41369</v>
      </c>
      <c r="H266" s="370">
        <f t="shared" si="918"/>
        <v>41369</v>
      </c>
      <c r="I266" s="629"/>
      <c r="J266" s="594"/>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20"/>
      <c r="ZZ266" s="50"/>
      <c r="AAA266" s="590"/>
      <c r="AAD266" s="113"/>
      <c r="AAE266" s="553">
        <f t="shared" si="915"/>
        <v>1</v>
      </c>
      <c r="AAF266" s="113"/>
      <c r="AAG266" s="78">
        <f t="shared" si="920"/>
        <v>41369</v>
      </c>
      <c r="AAH266" s="78">
        <f t="shared" si="919"/>
        <v>41369</v>
      </c>
      <c r="AAI266" s="63"/>
      <c r="AAJ266" s="57"/>
      <c r="AAK266" s="57"/>
      <c r="AAL266" s="57"/>
      <c r="AAM266" s="113"/>
      <c r="AAN266"/>
      <c r="AAT266" s="23"/>
      <c r="AAU266" s="44"/>
    </row>
    <row r="267" spans="1:732" ht="15" outlineLevel="2">
      <c r="A267" s="560"/>
      <c r="B267" s="434" t="s">
        <v>107</v>
      </c>
      <c r="C267" s="492"/>
      <c r="D267" s="280" t="s">
        <v>16</v>
      </c>
      <c r="E267" s="369">
        <f t="shared" si="916"/>
        <v>1</v>
      </c>
      <c r="F267" s="494">
        <f t="shared" ca="1" si="917"/>
        <v>-9</v>
      </c>
      <c r="G267" s="528">
        <f t="shared" si="913"/>
        <v>41369</v>
      </c>
      <c r="H267" s="370">
        <f t="shared" si="918"/>
        <v>41369</v>
      </c>
      <c r="I267" s="629"/>
      <c r="J267" s="594"/>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20"/>
      <c r="ZZ267" s="50"/>
      <c r="AAA267" s="590"/>
      <c r="AAD267" s="113"/>
      <c r="AAE267" s="553">
        <f t="shared" si="915"/>
        <v>1</v>
      </c>
      <c r="AAF267" s="113"/>
      <c r="AAG267" s="78">
        <f t="shared" si="920"/>
        <v>41369</v>
      </c>
      <c r="AAH267" s="78">
        <f t="shared" si="919"/>
        <v>41369</v>
      </c>
      <c r="AAI267" s="63"/>
      <c r="AAJ267" s="57"/>
      <c r="AAK267" s="57"/>
      <c r="AAL267" s="57"/>
      <c r="AAM267" s="113"/>
      <c r="AAN267"/>
      <c r="AAT267" s="23"/>
      <c r="AAU267" s="44"/>
    </row>
    <row r="268" spans="1:732" ht="15" outlineLevel="2">
      <c r="A268" s="560"/>
      <c r="B268" s="435" t="s">
        <v>108</v>
      </c>
      <c r="C268" s="492"/>
      <c r="D268" s="280" t="s">
        <v>16</v>
      </c>
      <c r="E268" s="369">
        <f t="shared" si="916"/>
        <v>1</v>
      </c>
      <c r="F268" s="494">
        <f t="shared" ca="1" si="917"/>
        <v>-9</v>
      </c>
      <c r="G268" s="528">
        <f t="shared" si="913"/>
        <v>41369</v>
      </c>
      <c r="H268" s="370">
        <f t="shared" si="918"/>
        <v>41369</v>
      </c>
      <c r="I268" s="629"/>
      <c r="J268" s="594"/>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20"/>
      <c r="ZZ268" s="50"/>
      <c r="AAA268" s="590"/>
      <c r="AAD268" s="113"/>
      <c r="AAE268" s="553">
        <f t="shared" si="915"/>
        <v>1</v>
      </c>
      <c r="AAF268" s="113"/>
      <c r="AAG268" s="78">
        <f t="shared" si="920"/>
        <v>41369</v>
      </c>
      <c r="AAH268" s="78">
        <f t="shared" si="919"/>
        <v>41369</v>
      </c>
      <c r="AAI268" s="63"/>
      <c r="AAJ268" s="57"/>
      <c r="AAK268" s="57"/>
      <c r="AAL268" s="57"/>
      <c r="AAM268" s="113"/>
      <c r="AAN268"/>
      <c r="AAT268" s="23"/>
      <c r="AAU268" s="44"/>
    </row>
    <row r="269" spans="1:732" ht="15" outlineLevel="2">
      <c r="A269" s="560"/>
      <c r="B269" s="436" t="s">
        <v>189</v>
      </c>
      <c r="C269" s="722"/>
      <c r="D269" s="196"/>
      <c r="E269" s="346"/>
      <c r="F269" s="367"/>
      <c r="G269" s="453"/>
      <c r="H269" s="368"/>
      <c r="I269" s="590"/>
      <c r="J269" s="594"/>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20"/>
      <c r="ZZ269" s="36"/>
      <c r="AAA269" s="590"/>
      <c r="AAD269" s="113"/>
      <c r="AAE269" s="553">
        <f t="shared" si="915"/>
        <v>1</v>
      </c>
      <c r="AAF269" s="585" t="s">
        <v>199</v>
      </c>
      <c r="AAG269" s="63"/>
      <c r="AAH269" s="63"/>
      <c r="AAI269" s="63"/>
      <c r="AAJ269" s="57"/>
      <c r="AAK269" s="57"/>
      <c r="AAL269" s="57"/>
      <c r="AAM269" s="113"/>
      <c r="AAN269"/>
      <c r="AAT269" s="23"/>
      <c r="AAU269" s="44"/>
    </row>
    <row r="270" spans="1:732" ht="15" outlineLevel="1">
      <c r="A270" s="560"/>
      <c r="B270" s="416" t="s">
        <v>303</v>
      </c>
      <c r="C270" s="169"/>
      <c r="D270" s="278" t="s">
        <v>161</v>
      </c>
      <c r="E270" s="369">
        <f>NETWORKDAYS(G270,H270,S.DDL_DEQClosed)</f>
        <v>48</v>
      </c>
      <c r="F270" s="494">
        <f t="shared" ref="F270:F287" ca="1" si="921">NETWORKDAYS(TODAY(),H270)</f>
        <v>43</v>
      </c>
      <c r="G270" s="370">
        <f t="shared" si="913"/>
        <v>41369</v>
      </c>
      <c r="H270" s="370">
        <f>AAH270</f>
        <v>41439</v>
      </c>
      <c r="I270" s="629"/>
      <c r="J270" s="594"/>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20"/>
      <c r="ZZ270" s="50"/>
      <c r="AAA270" s="590"/>
      <c r="AAD270" s="113"/>
      <c r="AAE270" s="553">
        <f t="shared" si="915"/>
        <v>1</v>
      </c>
      <c r="AAF270" s="113"/>
      <c r="AAG270" s="78">
        <f>S.BANNER.NoticeStart</f>
        <v>41369</v>
      </c>
      <c r="AAH270" s="78">
        <f>G299</f>
        <v>41439</v>
      </c>
      <c r="AAI270" s="63"/>
      <c r="AAJ270" s="57"/>
      <c r="AAK270" s="57"/>
      <c r="AAL270" s="57"/>
      <c r="AAM270" s="113"/>
      <c r="AAN270"/>
      <c r="AAT270" s="23"/>
      <c r="AAU270" s="44"/>
    </row>
    <row r="271" spans="1:732" ht="87.75" customHeight="1" outlineLevel="1">
      <c r="A271" s="560"/>
      <c r="B271" s="751" t="s">
        <v>380</v>
      </c>
      <c r="C271" s="751"/>
      <c r="D271" s="751"/>
      <c r="E271" s="751"/>
      <c r="F271" s="751"/>
      <c r="G271" s="751"/>
      <c r="H271" s="751"/>
      <c r="I271" s="590"/>
      <c r="J271" s="594"/>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20"/>
      <c r="ZZ271" s="36"/>
      <c r="AAA271" s="590"/>
      <c r="AAD271" s="113"/>
      <c r="AAE271" s="553">
        <f t="shared" si="915"/>
        <v>1</v>
      </c>
      <c r="AAF271" s="585" t="s">
        <v>199</v>
      </c>
      <c r="AAG271" s="63"/>
      <c r="AAH271" s="63"/>
      <c r="AAI271" s="63"/>
      <c r="AAJ271" s="57"/>
      <c r="AAK271" s="57"/>
      <c r="AAL271" s="96"/>
      <c r="AAM271" s="113"/>
      <c r="AAN271"/>
      <c r="AAT271" s="23"/>
      <c r="AAU271" s="44"/>
    </row>
    <row r="272" spans="1:732" ht="15" outlineLevel="1">
      <c r="A272" s="560"/>
      <c r="B272" s="411" t="str">
        <f>AAL272</f>
        <v>a. INVITATION.TO.COMMENT</v>
      </c>
      <c r="C272" s="169"/>
      <c r="D272" s="278" t="s">
        <v>167</v>
      </c>
      <c r="E272" s="369">
        <f t="shared" ref="E272:E275" si="922">NETWORKDAYS(G272,H272,S.DDL_DEQClosed)</f>
        <v>48</v>
      </c>
      <c r="F272" s="494">
        <f t="shared" ca="1" si="921"/>
        <v>43</v>
      </c>
      <c r="G272" s="370">
        <f t="shared" si="913"/>
        <v>41369</v>
      </c>
      <c r="H272" s="370">
        <f>AAH272</f>
        <v>41439</v>
      </c>
      <c r="I272" s="629"/>
      <c r="J272" s="594"/>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20"/>
      <c r="ZZ272" s="50"/>
      <c r="AAA272" s="590"/>
      <c r="AAD272" s="113"/>
      <c r="AAE272" s="553">
        <f t="shared" si="915"/>
        <v>1</v>
      </c>
      <c r="AAF272" s="113"/>
      <c r="AAG272" s="78">
        <f>G270</f>
        <v>41369</v>
      </c>
      <c r="AAH272" s="78">
        <f>H270</f>
        <v>41439</v>
      </c>
      <c r="AAI272" s="77"/>
      <c r="AAJ272" s="77"/>
      <c r="AAK272" s="77"/>
      <c r="AAL272" s="89" t="str">
        <f>"a. "&amp;S.CodeName&amp;"INVITATION.TO.COMMENT"</f>
        <v>a. INVITATION.TO.COMMENT</v>
      </c>
      <c r="AAM272" s="113"/>
      <c r="AAN272"/>
      <c r="AAT272" s="23"/>
      <c r="AAU272" s="44"/>
      <c r="AAV272" s="23"/>
      <c r="AAW272" s="23"/>
      <c r="AAX272" s="23"/>
      <c r="AAY272" s="23"/>
      <c r="AAZ272" s="23"/>
      <c r="ABA272" s="23"/>
      <c r="ABB272" s="23"/>
      <c r="ABC272" s="23"/>
      <c r="ABD272" s="23"/>
    </row>
    <row r="273" spans="1:732" ht="15" outlineLevel="1">
      <c r="A273" s="560"/>
      <c r="B273" s="411" t="str">
        <f>AAL273</f>
        <v>b. PROPOSED.RULES</v>
      </c>
      <c r="C273" s="232" t="s">
        <v>73</v>
      </c>
      <c r="D273" s="278" t="s">
        <v>161</v>
      </c>
      <c r="E273" s="369">
        <f t="shared" si="922"/>
        <v>48</v>
      </c>
      <c r="F273" s="494">
        <f t="shared" ca="1" si="921"/>
        <v>43</v>
      </c>
      <c r="G273" s="370">
        <f t="shared" si="913"/>
        <v>41369</v>
      </c>
      <c r="H273" s="370">
        <f>AAH273</f>
        <v>41439</v>
      </c>
      <c r="I273" s="629"/>
      <c r="J273" s="594"/>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20"/>
      <c r="ZZ273" s="50"/>
      <c r="AAA273" s="590"/>
      <c r="AAD273" s="113"/>
      <c r="AAE273" s="553">
        <f t="shared" si="915"/>
        <v>1</v>
      </c>
      <c r="AAF273" s="113"/>
      <c r="AAG273" s="78">
        <f>G270</f>
        <v>41369</v>
      </c>
      <c r="AAH273" s="78">
        <f>H270</f>
        <v>41439</v>
      </c>
      <c r="AAI273" s="77"/>
      <c r="AAJ273" s="77"/>
      <c r="AAK273" s="77"/>
      <c r="AAL273" s="89" t="str">
        <f>"b. "&amp;S.CodeName&amp;"PROPOSED.RULES"</f>
        <v>b. PROPOSED.RULES</v>
      </c>
      <c r="AAM273" s="113"/>
      <c r="AAN273"/>
      <c r="AAT273" s="23"/>
      <c r="AAU273" s="44"/>
    </row>
    <row r="274" spans="1:732" s="23" customFormat="1" ht="15" outlineLevel="1">
      <c r="A274" s="560"/>
      <c r="B274" s="418" t="s">
        <v>204</v>
      </c>
      <c r="C274" s="169"/>
      <c r="D274" s="279" t="s">
        <v>161</v>
      </c>
      <c r="E274" s="369">
        <f t="shared" si="922"/>
        <v>48</v>
      </c>
      <c r="F274" s="494">
        <f t="shared" ref="F274" ca="1" si="923">NETWORKDAYS(TODAY(),H274)</f>
        <v>43</v>
      </c>
      <c r="G274" s="370">
        <f t="shared" si="913"/>
        <v>41369</v>
      </c>
      <c r="H274" s="370">
        <f>AAH274</f>
        <v>41439</v>
      </c>
      <c r="I274" s="629"/>
      <c r="J274" s="594"/>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20"/>
      <c r="ZZ274" s="50"/>
      <c r="AAA274" s="590"/>
      <c r="AAB274"/>
      <c r="AAC274"/>
      <c r="AAD274" s="113"/>
      <c r="AAE274" s="553">
        <f t="shared" si="915"/>
        <v>1</v>
      </c>
      <c r="AAF274" s="113"/>
      <c r="AAG274" s="78">
        <f>G270</f>
        <v>41369</v>
      </c>
      <c r="AAH274" s="78">
        <f>H270</f>
        <v>41439</v>
      </c>
      <c r="AAI274" s="77"/>
      <c r="AAJ274" s="77"/>
      <c r="AAK274" s="77"/>
      <c r="AAL274" s="57"/>
      <c r="AAM274" s="113"/>
      <c r="AAU274" s="44"/>
      <c r="AAV274"/>
      <c r="AAW274"/>
      <c r="AAX274"/>
      <c r="AAY274"/>
      <c r="AAZ274"/>
      <c r="ABA274"/>
      <c r="ABB274"/>
      <c r="ABC274"/>
      <c r="ABD274"/>
    </row>
    <row r="275" spans="1:732" ht="15" outlineLevel="1">
      <c r="A275" s="560"/>
      <c r="B275" s="419" t="s">
        <v>361</v>
      </c>
      <c r="C275" s="169"/>
      <c r="D275" s="278" t="s">
        <v>167</v>
      </c>
      <c r="E275" s="369">
        <f t="shared" si="922"/>
        <v>48</v>
      </c>
      <c r="F275" s="494">
        <f t="shared" ca="1" si="921"/>
        <v>43</v>
      </c>
      <c r="G275" s="370">
        <f t="shared" si="913"/>
        <v>41369</v>
      </c>
      <c r="H275" s="370">
        <f>AAH275</f>
        <v>41439</v>
      </c>
      <c r="I275" s="629"/>
      <c r="J275" s="594"/>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20"/>
      <c r="ZZ275" s="50"/>
      <c r="AAA275" s="590"/>
      <c r="AAD275" s="113"/>
      <c r="AAE275" s="553">
        <f t="shared" si="915"/>
        <v>1</v>
      </c>
      <c r="AAF275" s="113"/>
      <c r="AAG275" s="78">
        <f>G270</f>
        <v>41369</v>
      </c>
      <c r="AAH275" s="78">
        <f>H270</f>
        <v>41439</v>
      </c>
      <c r="AAI275" s="77"/>
      <c r="AAJ275" s="77"/>
      <c r="AAK275" s="77"/>
      <c r="AAL275" s="89" t="str">
        <f>"c. "&amp;S.CodeName&amp;"NOTICE"</f>
        <v>c. NOTICE</v>
      </c>
      <c r="AAM275" s="113"/>
      <c r="AAN275"/>
      <c r="AAT275" s="23"/>
      <c r="AAU275" s="44"/>
    </row>
    <row r="276" spans="1:732" ht="15" outlineLevel="1">
      <c r="A276" s="560"/>
      <c r="B276" s="328" t="s">
        <v>37</v>
      </c>
      <c r="C276" s="169"/>
      <c r="D276" s="175"/>
      <c r="E276" s="183"/>
      <c r="F276" s="183"/>
      <c r="G276" s="175"/>
      <c r="H276" s="175"/>
      <c r="I276" s="590"/>
      <c r="J276" s="594"/>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20"/>
      <c r="ZZ276" s="36"/>
      <c r="AAA276" s="590"/>
      <c r="AAD276" s="113"/>
      <c r="AAE276" s="553">
        <f t="shared" si="915"/>
        <v>1</v>
      </c>
      <c r="AAF276" s="585" t="s">
        <v>199</v>
      </c>
      <c r="AAG276" s="76"/>
      <c r="AAH276" s="76"/>
      <c r="AAI276" s="77"/>
      <c r="AAJ276" s="77"/>
      <c r="AAK276" s="77"/>
      <c r="AAL276" s="57"/>
      <c r="AAM276" s="113"/>
      <c r="AAN276"/>
      <c r="AAT276" s="23"/>
      <c r="AAU276" s="44"/>
    </row>
    <row r="277" spans="1:732" ht="15" outlineLevel="1">
      <c r="A277" s="560"/>
      <c r="B277" s="328" t="s">
        <v>41</v>
      </c>
      <c r="C277" s="169"/>
      <c r="D277" s="175"/>
      <c r="E277" s="183"/>
      <c r="F277" s="183"/>
      <c r="G277" s="175"/>
      <c r="H277" s="175"/>
      <c r="I277" s="590"/>
      <c r="J277" s="594"/>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20"/>
      <c r="ZZ277" s="36"/>
      <c r="AAA277" s="590"/>
      <c r="AAD277" s="113"/>
      <c r="AAE277" s="553">
        <f t="shared" si="915"/>
        <v>1</v>
      </c>
      <c r="AAF277" s="585" t="s">
        <v>199</v>
      </c>
      <c r="AAG277" s="76"/>
      <c r="AAH277" s="76"/>
      <c r="AAI277" s="76"/>
      <c r="AAJ277" s="57"/>
      <c r="AAK277" s="57"/>
      <c r="AAL277" s="57"/>
      <c r="AAM277" s="113"/>
      <c r="AAN277"/>
      <c r="AAT277" s="23"/>
      <c r="AAU277" s="44"/>
    </row>
    <row r="278" spans="1:732" ht="15" outlineLevel="1">
      <c r="A278" s="560"/>
      <c r="B278" s="328" t="s">
        <v>40</v>
      </c>
      <c r="C278" s="169"/>
      <c r="D278" s="175"/>
      <c r="E278" s="183"/>
      <c r="F278" s="183"/>
      <c r="G278" s="175"/>
      <c r="H278" s="175"/>
      <c r="I278" s="590"/>
      <c r="J278" s="594"/>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20"/>
      <c r="ZZ278" s="36"/>
      <c r="AAA278" s="590"/>
      <c r="AAD278" s="113"/>
      <c r="AAE278" s="553">
        <f t="shared" si="915"/>
        <v>1</v>
      </c>
      <c r="AAF278" s="585" t="s">
        <v>199</v>
      </c>
      <c r="AAG278" s="76"/>
      <c r="AAH278" s="76"/>
      <c r="AAI278" s="76"/>
      <c r="AAJ278" s="57"/>
      <c r="AAK278" s="57"/>
      <c r="AAL278" s="57"/>
      <c r="AAM278" s="113"/>
      <c r="AAN278"/>
      <c r="AAT278" s="23"/>
      <c r="AAU278" s="44"/>
    </row>
    <row r="279" spans="1:732" ht="16.5" customHeight="1" outlineLevel="1">
      <c r="A279" s="560"/>
      <c r="B279" s="328" t="s">
        <v>160</v>
      </c>
      <c r="C279" s="169"/>
      <c r="D279" s="175"/>
      <c r="E279" s="183"/>
      <c r="F279" s="183"/>
      <c r="G279" s="175"/>
      <c r="H279" s="175"/>
      <c r="I279" s="590"/>
      <c r="J279" s="594"/>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20"/>
      <c r="ZZ279" s="36"/>
      <c r="AAA279" s="590"/>
      <c r="AAD279" s="113"/>
      <c r="AAE279" s="553">
        <f t="shared" si="915"/>
        <v>1</v>
      </c>
      <c r="AAF279" s="585" t="s">
        <v>199</v>
      </c>
      <c r="AAG279" s="76"/>
      <c r="AAH279" s="76"/>
      <c r="AAI279" s="76" t="s">
        <v>0</v>
      </c>
      <c r="AAJ279" s="57"/>
      <c r="AAK279" s="57"/>
      <c r="AAL279" s="57"/>
      <c r="AAM279" s="113"/>
      <c r="AAN279"/>
      <c r="AAT279" s="23"/>
      <c r="AAU279" s="44"/>
    </row>
    <row r="280" spans="1:732" ht="15" outlineLevel="1">
      <c r="A280" s="560"/>
      <c r="B280" s="328" t="s">
        <v>128</v>
      </c>
      <c r="C280" s="169"/>
      <c r="D280" s="175"/>
      <c r="E280" s="183"/>
      <c r="F280" s="183"/>
      <c r="G280" s="175"/>
      <c r="H280" s="175"/>
      <c r="I280" s="590"/>
      <c r="J280" s="594"/>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20"/>
      <c r="ZZ280" s="36"/>
      <c r="AAA280" s="590"/>
      <c r="AAD280" s="113"/>
      <c r="AAE280" s="553">
        <f t="shared" si="915"/>
        <v>1</v>
      </c>
      <c r="AAF280" s="585" t="s">
        <v>199</v>
      </c>
      <c r="AAG280" s="76"/>
      <c r="AAH280" s="76"/>
      <c r="AAI280" s="76"/>
      <c r="AAJ280" s="57"/>
      <c r="AAK280" s="57"/>
      <c r="AAL280" s="57"/>
      <c r="AAM280" s="113"/>
      <c r="AAN280"/>
      <c r="AAT280" s="23"/>
      <c r="AAU280" s="44"/>
    </row>
    <row r="281" spans="1:732" ht="15" outlineLevel="1">
      <c r="A281" s="560"/>
      <c r="B281" s="420" t="s">
        <v>386</v>
      </c>
      <c r="C281" s="169"/>
      <c r="D281" s="175"/>
      <c r="E281" s="183"/>
      <c r="F281" s="183"/>
      <c r="G281" s="175"/>
      <c r="H281" s="175"/>
      <c r="I281" s="590"/>
      <c r="J281" s="594"/>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20"/>
      <c r="ZZ281" s="36"/>
      <c r="AAA281" s="590"/>
      <c r="AAD281" s="113"/>
      <c r="AAE281" s="553">
        <f>IF(S.InvolveFee=TRUE,1,0)</f>
        <v>1</v>
      </c>
      <c r="AAF281" s="585" t="s">
        <v>199</v>
      </c>
      <c r="AAG281" s="76"/>
      <c r="AAH281" s="76"/>
      <c r="AAI281" s="76"/>
      <c r="AAJ281" s="57"/>
      <c r="AAK281" s="57"/>
      <c r="AAL281" s="88" t="str">
        <f>IF(S.InvolveFee=TRUE,"Integrate FEE.INSERT","Delete Fee section")</f>
        <v>Integrate FEE.INSERT</v>
      </c>
      <c r="AAM281" s="113"/>
      <c r="AAN281"/>
      <c r="AAT281" s="23"/>
      <c r="AAU281" s="44"/>
    </row>
    <row r="282" spans="1:732" ht="15" outlineLevel="1">
      <c r="A282" s="560"/>
      <c r="B282" s="421" t="s">
        <v>38</v>
      </c>
      <c r="C282" s="169"/>
      <c r="D282" s="175"/>
      <c r="E282" s="183"/>
      <c r="F282" s="183"/>
      <c r="G282" s="175"/>
      <c r="H282" s="175"/>
      <c r="I282" s="590"/>
      <c r="J282" s="594"/>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20"/>
      <c r="ZZ282" s="36"/>
      <c r="AAA282" s="590"/>
      <c r="AAD282" s="113"/>
      <c r="AAE282" s="553">
        <f>IF(S.InvolveNotice=TRUE,1,0)</f>
        <v>1</v>
      </c>
      <c r="AAF282" s="585" t="s">
        <v>199</v>
      </c>
      <c r="AAG282" s="76"/>
      <c r="AAH282" s="76"/>
      <c r="AAI282" s="76"/>
      <c r="AAJ282" s="57"/>
      <c r="AAK282" s="57"/>
      <c r="AAL282" s="57"/>
      <c r="AAM282" s="113"/>
      <c r="AAN282"/>
      <c r="AAT282" s="23"/>
      <c r="AAU282" s="44"/>
    </row>
    <row r="283" spans="1:732" ht="15" outlineLevel="1">
      <c r="A283" s="560"/>
      <c r="B283" s="411" t="str">
        <f>AAL283</f>
        <v>d. SUPPORTING.DOCS</v>
      </c>
      <c r="C283" s="169"/>
      <c r="D283" s="278" t="s">
        <v>167</v>
      </c>
      <c r="E283" s="369">
        <f>NETWORKDAYS(G283,H283,S.DDL_DEQClosed)</f>
        <v>48</v>
      </c>
      <c r="F283" s="494">
        <f t="shared" ca="1" si="921"/>
        <v>43</v>
      </c>
      <c r="G283" s="370">
        <f t="shared" ref="G283" si="924">AAG283</f>
        <v>41369</v>
      </c>
      <c r="H283" s="370">
        <f>AAH283</f>
        <v>41439</v>
      </c>
      <c r="I283" s="629"/>
      <c r="J283" s="594"/>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20"/>
      <c r="ZZ283" s="50"/>
      <c r="AAA283" s="590"/>
      <c r="AAD283" s="113"/>
      <c r="AAE283" s="553">
        <f>IF(S.InvolveNotice=TRUE,1,0)</f>
        <v>1</v>
      </c>
      <c r="AAF283" s="113"/>
      <c r="AAG283" s="78">
        <f>G270</f>
        <v>41369</v>
      </c>
      <c r="AAH283" s="78">
        <f>H270</f>
        <v>41439</v>
      </c>
      <c r="AAI283" s="77"/>
      <c r="AAJ283" s="77"/>
      <c r="AAK283" s="77"/>
      <c r="AAL283" s="89" t="str">
        <f>"d. "&amp;S.CodeName&amp;"SUPPORTING.DOCS"</f>
        <v>d. SUPPORTING.DOCS</v>
      </c>
      <c r="AAM283" s="113"/>
      <c r="AAN283"/>
      <c r="AAT283" s="23"/>
      <c r="AAU283" s="44"/>
    </row>
    <row r="284" spans="1:732" ht="15" hidden="1" outlineLevel="1">
      <c r="A284" s="560"/>
      <c r="B284" s="411" t="str">
        <f>AAL284</f>
        <v>SIP not involved</v>
      </c>
      <c r="C284" s="169"/>
      <c r="D284" s="278" t="s">
        <v>49</v>
      </c>
      <c r="E284" s="369">
        <f t="shared" ref="E284:E287" si="925">NETWORKDAYS(G284,H284,S.DDL_DEQClosed)</f>
        <v>48</v>
      </c>
      <c r="F284" s="494">
        <f t="shared" ca="1" si="921"/>
        <v>43</v>
      </c>
      <c r="G284" s="370">
        <f t="shared" ref="G284:G286" si="926">AAG284</f>
        <v>41369</v>
      </c>
      <c r="H284" s="370">
        <f>AAH284</f>
        <v>41439</v>
      </c>
      <c r="I284" s="629"/>
      <c r="J284" s="594"/>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20"/>
      <c r="ZZ284" s="50"/>
      <c r="AAA284" s="590"/>
      <c r="AAD284" s="113"/>
      <c r="AAE284" s="553">
        <f>IF(S.InvolveSIP=TRUE,1,0)</f>
        <v>0</v>
      </c>
      <c r="AAF284" s="113"/>
      <c r="AAG284" s="78">
        <f>G270</f>
        <v>41369</v>
      </c>
      <c r="AAH284" s="78">
        <f>H270</f>
        <v>41439</v>
      </c>
      <c r="AAI284" s="77"/>
      <c r="AAJ284" s="77"/>
      <c r="AAK284" s="77"/>
      <c r="AAL284" s="89" t="str">
        <f>IF(S.InvolveSIP=TRUE,"e. "&amp;S.CodeName&amp;"SIP","SIP not involved")</f>
        <v>SIP not involved</v>
      </c>
      <c r="AAM284" s="113"/>
      <c r="AAN284"/>
      <c r="AAT284" s="23"/>
      <c r="AAU284" s="44"/>
    </row>
    <row r="285" spans="1:732" ht="15" outlineLevel="1">
      <c r="A285" s="560"/>
      <c r="B285" s="417" t="str">
        <f>AAL285</f>
        <v>Draft ##AD if needed</v>
      </c>
      <c r="C285" s="232" t="s">
        <v>73</v>
      </c>
      <c r="D285" s="278" t="s">
        <v>170</v>
      </c>
      <c r="E285" s="369">
        <f t="shared" si="925"/>
        <v>48</v>
      </c>
      <c r="F285" s="494">
        <f t="shared" ca="1" si="921"/>
        <v>43</v>
      </c>
      <c r="G285" s="370">
        <f t="shared" si="926"/>
        <v>41369</v>
      </c>
      <c r="H285" s="370">
        <f>AAH285</f>
        <v>41439</v>
      </c>
      <c r="I285" s="629"/>
      <c r="J285" s="594"/>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20"/>
      <c r="ZZ285" s="50"/>
      <c r="AAA285" s="590"/>
      <c r="AAD285" s="113"/>
      <c r="AAE285" s="553">
        <f>IF(S.InvolveNotice=TRUE,1,0)</f>
        <v>1</v>
      </c>
      <c r="AAF285" s="113"/>
      <c r="AAG285" s="78">
        <f>G270</f>
        <v>41369</v>
      </c>
      <c r="AAH285" s="78">
        <f>H270</f>
        <v>41439</v>
      </c>
      <c r="AAI285" s="77"/>
      <c r="AAJ285" s="77"/>
      <c r="AAK285" s="77"/>
      <c r="AAL285" s="89" t="str">
        <f>"Draft "&amp;S.CodeName&amp;"##AD if needed"</f>
        <v>Draft ##AD if needed</v>
      </c>
      <c r="AAM285" s="113"/>
      <c r="AAN285"/>
      <c r="AAT285" s="23"/>
      <c r="AAU285" s="44"/>
    </row>
    <row r="286" spans="1:732" ht="15" outlineLevel="1">
      <c r="A286" s="560"/>
      <c r="B286" s="417" t="s">
        <v>109</v>
      </c>
      <c r="C286" s="169"/>
      <c r="D286" s="279" t="s">
        <v>161</v>
      </c>
      <c r="E286" s="369">
        <f t="shared" si="925"/>
        <v>48</v>
      </c>
      <c r="F286" s="494">
        <f t="shared" ca="1" si="921"/>
        <v>43</v>
      </c>
      <c r="G286" s="370">
        <f t="shared" si="926"/>
        <v>41369</v>
      </c>
      <c r="H286" s="370">
        <f>AAH286</f>
        <v>41439</v>
      </c>
      <c r="I286" s="629"/>
      <c r="J286" s="594"/>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20"/>
      <c r="ZZ286" s="50"/>
      <c r="AAA286" s="590"/>
      <c r="AAD286" s="113"/>
      <c r="AAE286" s="553">
        <f>IF(S.InvolveHearing=TRUE,1,0)</f>
        <v>1</v>
      </c>
      <c r="AAF286" s="113"/>
      <c r="AAG286" s="78">
        <f>G270</f>
        <v>41369</v>
      </c>
      <c r="AAH286" s="78">
        <f>H270</f>
        <v>41439</v>
      </c>
      <c r="AAI286" s="77"/>
      <c r="AAJ286" s="77"/>
      <c r="AAK286" s="77"/>
      <c r="AAL286" s="88" t="str">
        <f>IF(S.InvolveHearing=TRUE,"Display advertisements, if needed","Display advertisements not involved")</f>
        <v>Display advertisements, if needed</v>
      </c>
      <c r="AAM286" s="113"/>
      <c r="AAN286"/>
      <c r="AAT286" s="23"/>
      <c r="AAU286" s="44"/>
    </row>
    <row r="287" spans="1:732" ht="15.75" customHeight="1" outlineLevel="1">
      <c r="A287" s="560"/>
      <c r="B287" s="422" t="s">
        <v>334</v>
      </c>
      <c r="C287" s="240"/>
      <c r="D287" s="278" t="s">
        <v>161</v>
      </c>
      <c r="E287" s="369">
        <f t="shared" si="925"/>
        <v>48</v>
      </c>
      <c r="F287" s="494">
        <f t="shared" ca="1" si="921"/>
        <v>43</v>
      </c>
      <c r="G287" s="370">
        <f t="shared" ref="G287" si="927">AAG287</f>
        <v>41369</v>
      </c>
      <c r="H287" s="370">
        <f>AAH287</f>
        <v>41439</v>
      </c>
      <c r="I287" s="629"/>
      <c r="J287" s="594"/>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20"/>
      <c r="ZZ287" s="50"/>
      <c r="AAA287" s="590"/>
      <c r="AAD287" s="113"/>
      <c r="AAE287" s="553">
        <f>IF(S.InvolveNotice=TRUE,1,0)</f>
        <v>1</v>
      </c>
      <c r="AAF287" s="113"/>
      <c r="AAG287" s="78">
        <f>G270</f>
        <v>41369</v>
      </c>
      <c r="AAH287" s="78">
        <f>H270</f>
        <v>41439</v>
      </c>
      <c r="AAI287" s="77"/>
      <c r="AAJ287" s="664" t="s">
        <v>0</v>
      </c>
      <c r="AAK287" s="77"/>
      <c r="AAL287" s="57"/>
      <c r="AAM287" s="113"/>
      <c r="AAN287"/>
      <c r="AAT287" s="23"/>
      <c r="AAU287" s="44"/>
    </row>
    <row r="288" spans="1:732" ht="15.75" customHeight="1" outlineLevel="1">
      <c r="A288" s="560"/>
      <c r="B288" s="423" t="s">
        <v>299</v>
      </c>
      <c r="C288" s="184"/>
      <c r="D288" s="154"/>
      <c r="E288" s="155"/>
      <c r="F288" s="155"/>
      <c r="G288" s="154"/>
      <c r="H288" s="154"/>
      <c r="I288" s="590"/>
      <c r="J288" s="594"/>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20"/>
      <c r="ZZ288" s="36"/>
      <c r="AAA288" s="590"/>
      <c r="AAD288" s="113"/>
      <c r="AAE288" s="553">
        <f>IF(S.InvolveCommittee=TRUE,1,0)</f>
        <v>1</v>
      </c>
      <c r="AAF288" s="585" t="s">
        <v>199</v>
      </c>
      <c r="AAG288" s="76"/>
      <c r="AAH288" s="76"/>
      <c r="AAI288" s="77"/>
      <c r="AAJ288" s="77"/>
      <c r="AAK288" s="77"/>
      <c r="AAL288" s="97" t="str">
        <f>IF(S.InvolveHearing=TRUE,"Proposal, invitation to comment, notice, display ads","Proposal, invitation to comment, notice")</f>
        <v>Proposal, invitation to comment, notice, display ads</v>
      </c>
      <c r="AAM288" s="113"/>
      <c r="AAN288"/>
      <c r="AAT288" s="23"/>
      <c r="AAU288" s="44"/>
    </row>
    <row r="289" spans="1:732" ht="15.75" customHeight="1" outlineLevel="1">
      <c r="A289" s="560"/>
      <c r="B289" s="423" t="s">
        <v>300</v>
      </c>
      <c r="C289" s="184" t="s">
        <v>0</v>
      </c>
      <c r="D289" s="154"/>
      <c r="E289" s="155"/>
      <c r="F289" s="155"/>
      <c r="G289" s="154"/>
      <c r="H289" s="154"/>
      <c r="I289" s="590"/>
      <c r="J289" s="594"/>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20"/>
      <c r="ZZ289" s="36"/>
      <c r="AAA289" s="590"/>
      <c r="AAD289" s="113"/>
      <c r="AAE289" s="553">
        <f>IF(S.InvolveNotice=TRUE,1,0)</f>
        <v>1</v>
      </c>
      <c r="AAF289" s="585" t="s">
        <v>199</v>
      </c>
      <c r="AAG289" s="76"/>
      <c r="AAH289" s="76"/>
      <c r="AAI289" s="77"/>
      <c r="AAJ289" s="77"/>
      <c r="AAK289" s="77"/>
      <c r="AAL289" s="97" t="str">
        <f>IF(S.InvolveCommittee=TRUE,"2. Fiscal impact statement","Fiscal impact statement")</f>
        <v>2. Fiscal impact statement</v>
      </c>
      <c r="AAM289" s="113"/>
      <c r="AAN289"/>
      <c r="AAT289" s="23"/>
      <c r="AAU289" s="44"/>
    </row>
    <row r="290" spans="1:732" ht="15.75" customHeight="1" outlineLevel="1">
      <c r="A290" s="560"/>
      <c r="B290" s="423" t="s">
        <v>301</v>
      </c>
      <c r="C290" s="184"/>
      <c r="D290" s="154"/>
      <c r="E290" s="155"/>
      <c r="F290" s="155"/>
      <c r="G290" s="154"/>
      <c r="H290" s="154"/>
      <c r="I290" s="590"/>
      <c r="J290" s="594"/>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20"/>
      <c r="ZZ290" s="36"/>
      <c r="AAA290" s="590"/>
      <c r="AAD290" s="113"/>
      <c r="AAE290" s="553">
        <f>IF(S.InvolveSIP=TRUE,1,0)</f>
        <v>0</v>
      </c>
      <c r="AAF290" s="585" t="s">
        <v>199</v>
      </c>
      <c r="AAG290" s="76"/>
      <c r="AAH290" s="76"/>
      <c r="AAI290" s="77"/>
      <c r="AAJ290" s="77"/>
      <c r="AAK290" s="77"/>
      <c r="AAL290" s="97" t="str">
        <f>IF(S.InvolveHearing=TRUE,"Proposal, invitation to comment, notice, display ads","Proposal, invitation to comment, notice")</f>
        <v>Proposal, invitation to comment, notice, display ads</v>
      </c>
      <c r="AAM290" s="113"/>
      <c r="AAN290"/>
      <c r="AAT290" s="23"/>
      <c r="AAU290" s="44"/>
    </row>
    <row r="291" spans="1:732" ht="15.75" customHeight="1" outlineLevel="1">
      <c r="A291" s="560"/>
      <c r="B291" s="423" t="s">
        <v>302</v>
      </c>
      <c r="C291" s="184"/>
      <c r="D291" s="154"/>
      <c r="E291" s="155"/>
      <c r="F291" s="155"/>
      <c r="G291" s="154"/>
      <c r="H291" s="154"/>
      <c r="I291" s="590"/>
      <c r="J291" s="594"/>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20"/>
      <c r="ZZ291" s="36"/>
      <c r="AAA291" s="590"/>
      <c r="AAD291" s="113"/>
      <c r="AAE291" s="553">
        <f t="shared" ref="AAE291:AAE309" si="928">IF(S.InvolveNotice=TRUE,1,0)</f>
        <v>1</v>
      </c>
      <c r="AAF291" s="585" t="s">
        <v>199</v>
      </c>
      <c r="AAG291" s="76"/>
      <c r="AAH291" s="76"/>
      <c r="AAI291" s="77"/>
      <c r="AAJ291" s="77"/>
      <c r="AAK291" s="77"/>
      <c r="AAL291" s="97" t="str">
        <f>IF(S.InvolveHearing=TRUE,"Proposal, invitation to comment, notice, display ads","Proposal, invitation to comment, notice")</f>
        <v>Proposal, invitation to comment, notice, display ads</v>
      </c>
      <c r="AAM291" s="113"/>
      <c r="AAN291"/>
      <c r="AAT291" s="23"/>
      <c r="AAU291" s="44"/>
    </row>
    <row r="292" spans="1:732" ht="15.75" customHeight="1" outlineLevel="1">
      <c r="A292" s="560"/>
      <c r="B292" s="424" t="s">
        <v>333</v>
      </c>
      <c r="C292" s="185"/>
      <c r="D292" s="154"/>
      <c r="E292" s="155"/>
      <c r="F292" s="155"/>
      <c r="G292" s="154"/>
      <c r="H292" s="154"/>
      <c r="I292" s="590"/>
      <c r="J292" s="594"/>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20"/>
      <c r="ZZ292" s="36"/>
      <c r="AAA292" s="590"/>
      <c r="AAD292" s="113"/>
      <c r="AAE292" s="553">
        <f t="shared" si="928"/>
        <v>1</v>
      </c>
      <c r="AAF292" s="585" t="s">
        <v>199</v>
      </c>
      <c r="AAG292" s="76"/>
      <c r="AAH292" s="76"/>
      <c r="AAI292" s="77"/>
      <c r="AAJ292" s="77"/>
      <c r="AAK292" s="77"/>
      <c r="AAL292" s="80"/>
      <c r="AAM292" s="113"/>
      <c r="AAN292"/>
      <c r="AAT292" s="23"/>
      <c r="AAU292" s="44"/>
    </row>
    <row r="293" spans="1:732" ht="15.75" customHeight="1" outlineLevel="1">
      <c r="A293" s="560"/>
      <c r="B293" s="425" t="s">
        <v>80</v>
      </c>
      <c r="C293" s="240"/>
      <c r="D293" s="280" t="s">
        <v>16</v>
      </c>
      <c r="E293" s="369">
        <f>NETWORKDAYS(G293,H293,S.DDL_DEQClosed)</f>
        <v>1</v>
      </c>
      <c r="F293" s="494">
        <f ca="1">NETWORKDAYS(TODAY(),H293)</f>
        <v>43</v>
      </c>
      <c r="G293" s="370">
        <f t="shared" ref="G293:G296" si="929">AAG293</f>
        <v>41439</v>
      </c>
      <c r="H293" s="370">
        <f>AAH293</f>
        <v>41439</v>
      </c>
      <c r="I293" s="629"/>
      <c r="J293" s="594"/>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20"/>
      <c r="ZZ293" s="50"/>
      <c r="AAA293" s="590"/>
      <c r="AAD293" s="113"/>
      <c r="AAE293" s="553">
        <f t="shared" si="928"/>
        <v>1</v>
      </c>
      <c r="AAF293" s="113"/>
      <c r="AAG293" s="78">
        <f>H287</f>
        <v>41439</v>
      </c>
      <c r="AAH293" s="78">
        <f t="shared" ref="AAH293:AAH296" si="930">G293</f>
        <v>41439</v>
      </c>
      <c r="AAI293" s="77"/>
      <c r="AAJ293" s="77"/>
      <c r="AAK293" s="77"/>
      <c r="AAL293" s="57"/>
      <c r="AAM293" s="113"/>
      <c r="AAN293"/>
      <c r="AAT293" s="23"/>
      <c r="AAU293" s="44"/>
    </row>
    <row r="294" spans="1:732" ht="15.75" customHeight="1" outlineLevel="1">
      <c r="A294" s="560"/>
      <c r="B294" s="426" t="s">
        <v>81</v>
      </c>
      <c r="C294" s="240"/>
      <c r="D294" s="280" t="s">
        <v>16</v>
      </c>
      <c r="E294" s="369">
        <f>NETWORKDAYS(G294,H294,S.DDL_DEQClosed)</f>
        <v>1</v>
      </c>
      <c r="F294" s="494">
        <f ca="1">NETWORKDAYS(TODAY(),H294)</f>
        <v>43</v>
      </c>
      <c r="G294" s="370">
        <f t="shared" si="929"/>
        <v>41439</v>
      </c>
      <c r="H294" s="370">
        <f>AAH294</f>
        <v>41439</v>
      </c>
      <c r="I294" s="629"/>
      <c r="J294" s="594"/>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20"/>
      <c r="ZZ294" s="50"/>
      <c r="AAA294" s="590"/>
      <c r="AAD294" s="113"/>
      <c r="AAE294" s="553">
        <f t="shared" si="928"/>
        <v>1</v>
      </c>
      <c r="AAF294" s="113"/>
      <c r="AAG294" s="78">
        <f>H293</f>
        <v>41439</v>
      </c>
      <c r="AAH294" s="78">
        <f t="shared" si="930"/>
        <v>41439</v>
      </c>
      <c r="AAI294" s="77"/>
      <c r="AAJ294" s="77"/>
      <c r="AAK294" s="77"/>
      <c r="AAL294" s="57"/>
      <c r="AAM294" s="113"/>
      <c r="AAN294"/>
      <c r="AAT294" s="23"/>
      <c r="AAU294" s="44"/>
    </row>
    <row r="295" spans="1:732" ht="15.75" customHeight="1" outlineLevel="1">
      <c r="A295" s="560"/>
      <c r="B295" s="427" t="s">
        <v>82</v>
      </c>
      <c r="C295" s="240"/>
      <c r="D295" s="280" t="s">
        <v>16</v>
      </c>
      <c r="E295" s="369">
        <f>NETWORKDAYS(G295,H295,S.DDL_DEQClosed)</f>
        <v>1</v>
      </c>
      <c r="F295" s="494">
        <f ca="1">NETWORKDAYS(TODAY(),H295)</f>
        <v>43</v>
      </c>
      <c r="G295" s="370">
        <f t="shared" si="929"/>
        <v>41439</v>
      </c>
      <c r="H295" s="370">
        <f>AAH295</f>
        <v>41439</v>
      </c>
      <c r="I295" s="629"/>
      <c r="J295" s="594"/>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20"/>
      <c r="ZZ295" s="50"/>
      <c r="AAA295" s="590"/>
      <c r="AAD295" s="113"/>
      <c r="AAE295" s="553">
        <f t="shared" si="928"/>
        <v>1</v>
      </c>
      <c r="AAF295" s="113"/>
      <c r="AAG295" s="78">
        <f>H294</f>
        <v>41439</v>
      </c>
      <c r="AAH295" s="78">
        <f t="shared" si="930"/>
        <v>41439</v>
      </c>
      <c r="AAI295" s="77"/>
      <c r="AAJ295" s="77"/>
      <c r="AAK295" s="77"/>
      <c r="AAL295" s="57"/>
      <c r="AAM295" s="113"/>
      <c r="AAN295"/>
      <c r="AAT295" s="23"/>
      <c r="AAU295" s="44"/>
    </row>
    <row r="296" spans="1:732" ht="15.75" customHeight="1" outlineLevel="1">
      <c r="A296" s="560"/>
      <c r="B296" s="428" t="s">
        <v>83</v>
      </c>
      <c r="C296" s="240"/>
      <c r="D296" s="280" t="s">
        <v>16</v>
      </c>
      <c r="E296" s="369">
        <f>NETWORKDAYS(G296,H296,S.DDL_DEQClosed)</f>
        <v>1</v>
      </c>
      <c r="F296" s="494">
        <f ca="1">NETWORKDAYS(TODAY(),H296)</f>
        <v>43</v>
      </c>
      <c r="G296" s="370">
        <f t="shared" si="929"/>
        <v>41439</v>
      </c>
      <c r="H296" s="370">
        <f>AAH296</f>
        <v>41439</v>
      </c>
      <c r="I296" s="629"/>
      <c r="J296" s="594"/>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20"/>
      <c r="ZZ296" s="50"/>
      <c r="AAA296" s="590"/>
      <c r="AAD296" s="113"/>
      <c r="AAE296" s="553">
        <f t="shared" si="928"/>
        <v>1</v>
      </c>
      <c r="AAF296" s="113"/>
      <c r="AAG296" s="78">
        <f>H295</f>
        <v>41439</v>
      </c>
      <c r="AAH296" s="78">
        <f t="shared" si="930"/>
        <v>41439</v>
      </c>
      <c r="AAI296" s="77"/>
      <c r="AAJ296" s="77"/>
      <c r="AAK296" s="77"/>
      <c r="AAL296" s="57"/>
      <c r="AAM296" s="113"/>
      <c r="AAN296"/>
      <c r="AAT296" s="23"/>
      <c r="AAU296" s="44"/>
    </row>
    <row r="297" spans="1:732" ht="86.25" customHeight="1" outlineLevel="1">
      <c r="A297" s="560"/>
      <c r="B297" s="752" t="s">
        <v>379</v>
      </c>
      <c r="C297" s="752"/>
      <c r="D297" s="752"/>
      <c r="E297" s="752"/>
      <c r="F297" s="752"/>
      <c r="G297" s="752"/>
      <c r="H297" s="752"/>
      <c r="I297" s="590"/>
      <c r="J297" s="594"/>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20"/>
      <c r="ZZ297" s="36"/>
      <c r="AAA297" s="590"/>
      <c r="AAD297" s="113"/>
      <c r="AAE297" s="553">
        <f t="shared" si="928"/>
        <v>1</v>
      </c>
      <c r="AAF297" s="585" t="s">
        <v>199</v>
      </c>
      <c r="AAG297" s="63"/>
      <c r="AAH297" s="63"/>
      <c r="AAI297" s="77"/>
      <c r="AAJ297" s="77"/>
      <c r="AAK297" s="77"/>
      <c r="AAL297" s="57"/>
      <c r="AAM297" s="113"/>
      <c r="AAN297"/>
      <c r="AAT297" s="23"/>
      <c r="AAU297" s="44"/>
    </row>
    <row r="298" spans="1:732" ht="15.75" outlineLevel="1">
      <c r="A298" s="560"/>
      <c r="B298" s="396" t="s">
        <v>52</v>
      </c>
      <c r="C298" s="241"/>
      <c r="D298" s="282" t="s">
        <v>0</v>
      </c>
      <c r="E298" s="283"/>
      <c r="F298" s="283"/>
      <c r="G298" s="284"/>
      <c r="H298" s="284"/>
      <c r="I298" s="590"/>
      <c r="J298" s="594"/>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20"/>
      <c r="ZZ298" s="36"/>
      <c r="AAA298" s="590"/>
      <c r="AAD298" s="113"/>
      <c r="AAE298" s="553">
        <f t="shared" si="928"/>
        <v>1</v>
      </c>
      <c r="AAF298" s="585" t="s">
        <v>199</v>
      </c>
      <c r="AAG298" s="63"/>
      <c r="AAH298" s="63"/>
      <c r="AAI298" s="77"/>
      <c r="AAJ298" s="77"/>
      <c r="AAK298" s="77"/>
      <c r="AAL298" s="57"/>
      <c r="AAM298" s="113"/>
      <c r="AAN298"/>
      <c r="AAT298" s="23"/>
      <c r="AAU298" s="44"/>
      <c r="AAV298" s="23"/>
      <c r="AAW298" s="23"/>
      <c r="AAX298" s="23"/>
      <c r="AAY298" s="23"/>
      <c r="AAZ298" s="23"/>
      <c r="ABA298" s="23"/>
      <c r="ABB298" s="23"/>
      <c r="ABC298" s="23"/>
      <c r="ABD298" s="23"/>
    </row>
    <row r="299" spans="1:732" ht="15" outlineLevel="1">
      <c r="A299" s="560"/>
      <c r="B299" s="376" t="s">
        <v>92</v>
      </c>
      <c r="C299" s="169"/>
      <c r="D299" s="280" t="s">
        <v>171</v>
      </c>
      <c r="E299" s="369">
        <f>NETWORKDAYS(G299,H299,S.DDL_DEQClosed)</f>
        <v>1</v>
      </c>
      <c r="F299" s="494">
        <f ca="1">NETWORKDAYS(TODAY(),H299)</f>
        <v>43</v>
      </c>
      <c r="G299" s="370">
        <f t="shared" ref="G299:H299" si="931">AAG299</f>
        <v>41439</v>
      </c>
      <c r="H299" s="371">
        <f t="shared" si="931"/>
        <v>41439</v>
      </c>
      <c r="I299" s="629"/>
      <c r="J299" s="594"/>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20"/>
      <c r="ZZ299" s="50"/>
      <c r="AAA299" s="590"/>
      <c r="AAD299" s="113"/>
      <c r="AAE299" s="553">
        <f t="shared" si="928"/>
        <v>1</v>
      </c>
      <c r="AAF299" s="113"/>
      <c r="AAG299" s="78">
        <f>G300</f>
        <v>41439</v>
      </c>
      <c r="AAH299" s="78">
        <f>G299</f>
        <v>41439</v>
      </c>
      <c r="AAI299" s="77"/>
      <c r="AAJ299" s="664" t="s">
        <v>0</v>
      </c>
      <c r="AAK299" s="77"/>
      <c r="AAL299" s="57"/>
      <c r="AAM299" s="113"/>
      <c r="AAN299"/>
      <c r="AAT299" s="23"/>
      <c r="AAU299" s="44"/>
    </row>
    <row r="300" spans="1:732" s="23" customFormat="1" ht="15" outlineLevel="1">
      <c r="A300" s="560"/>
      <c r="B300" s="413" t="s">
        <v>188</v>
      </c>
      <c r="C300" s="169"/>
      <c r="D300" s="278" t="s">
        <v>203</v>
      </c>
      <c r="E300" s="369">
        <f>NETWORKDAYS(G300,H300,S.DDL_DEQClosed)</f>
        <v>1</v>
      </c>
      <c r="F300" s="494">
        <f ca="1">NETWORKDAYS(TODAY(),H300)</f>
        <v>43</v>
      </c>
      <c r="G300" s="498">
        <f>AAG300</f>
        <v>41439</v>
      </c>
      <c r="H300" s="499">
        <f>AAH300</f>
        <v>41439</v>
      </c>
      <c r="I300" s="629"/>
      <c r="J300" s="594"/>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20"/>
      <c r="ZZ300" s="50"/>
      <c r="AAA300" s="590"/>
      <c r="AAB300"/>
      <c r="AAC300"/>
      <c r="AAD300" s="113"/>
      <c r="AAE300" s="553">
        <f t="shared" si="928"/>
        <v>1</v>
      </c>
      <c r="AAF300" s="113"/>
      <c r="AAG300" s="78">
        <f>WORKDAY(S.SubmitNoticeToSOS,-20,S.DDL_DEQClosed)</f>
        <v>41439</v>
      </c>
      <c r="AAH300" s="78">
        <f>G300</f>
        <v>41439</v>
      </c>
      <c r="AAI300" s="77"/>
      <c r="AAJ300" s="77"/>
      <c r="AAK300" s="77"/>
      <c r="AAL300" s="57"/>
      <c r="AAM300" s="113"/>
      <c r="AAU300" s="44"/>
      <c r="AAV300"/>
      <c r="AAW300"/>
      <c r="AAX300"/>
      <c r="AAY300"/>
      <c r="AAZ300"/>
      <c r="ABA300"/>
      <c r="ABB300"/>
      <c r="ABC300"/>
      <c r="ABD300"/>
    </row>
    <row r="301" spans="1:732" ht="15" outlineLevel="1">
      <c r="A301" s="560"/>
      <c r="B301" s="414" t="s">
        <v>33</v>
      </c>
      <c r="C301" s="699"/>
      <c r="D301" s="154"/>
      <c r="E301" s="662"/>
      <c r="F301" s="662"/>
      <c r="G301" s="663"/>
      <c r="H301" s="663"/>
      <c r="I301" s="590"/>
      <c r="J301" s="594"/>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20"/>
      <c r="ZZ301" s="36"/>
      <c r="AAA301" s="590"/>
      <c r="AAD301" s="113"/>
      <c r="AAE301" s="553">
        <f t="shared" si="928"/>
        <v>1</v>
      </c>
      <c r="AAF301" s="585" t="s">
        <v>199</v>
      </c>
      <c r="AAG301" s="76"/>
      <c r="AAH301" s="76"/>
      <c r="AAI301" s="77"/>
      <c r="AAJ301" s="77"/>
      <c r="AAK301" s="77"/>
      <c r="AAL301" s="57"/>
      <c r="AAM301" s="113"/>
      <c r="AAN301"/>
      <c r="AAT301" s="23"/>
      <c r="AAU301" s="44"/>
    </row>
    <row r="302" spans="1:732" ht="15.75" customHeight="1" outlineLevel="1">
      <c r="A302" s="560"/>
      <c r="B302" s="414" t="s">
        <v>158</v>
      </c>
      <c r="C302" s="699"/>
      <c r="D302" s="154"/>
      <c r="E302" s="662"/>
      <c r="F302" s="662"/>
      <c r="G302" s="663"/>
      <c r="H302" s="663"/>
      <c r="I302" s="590"/>
      <c r="J302" s="594"/>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20"/>
      <c r="ZZ302" s="36"/>
      <c r="AAA302" s="590"/>
      <c r="AAD302" s="113"/>
      <c r="AAE302" s="553">
        <f t="shared" si="928"/>
        <v>1</v>
      </c>
      <c r="AAF302" s="585" t="s">
        <v>199</v>
      </c>
      <c r="AAG302" s="76"/>
      <c r="AAH302" s="76"/>
      <c r="AAI302" s="77" t="s">
        <v>0</v>
      </c>
      <c r="AAJ302" s="77"/>
      <c r="AAK302" s="77"/>
      <c r="AAL302" s="57"/>
      <c r="AAM302" s="113"/>
      <c r="AAN302"/>
      <c r="AAT302" s="23"/>
      <c r="AAU302" s="44"/>
    </row>
    <row r="303" spans="1:732" ht="15" outlineLevel="1">
      <c r="A303" s="560"/>
      <c r="B303" s="415" t="s">
        <v>200</v>
      </c>
      <c r="C303" s="169"/>
      <c r="D303" s="279" t="s">
        <v>161</v>
      </c>
      <c r="E303" s="369">
        <f>NETWORKDAYS(G303,H303,S.DDL_DEQClosed)</f>
        <v>1</v>
      </c>
      <c r="F303" s="494">
        <f ca="1">NETWORKDAYS(TODAY(),H303)</f>
        <v>48</v>
      </c>
      <c r="G303" s="499">
        <f t="shared" ref="G303:H305" si="932">AAG303</f>
        <v>41446</v>
      </c>
      <c r="H303" s="498">
        <f t="shared" si="932"/>
        <v>41446</v>
      </c>
      <c r="I303" s="629"/>
      <c r="J303" s="594"/>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20"/>
      <c r="ZZ303" s="50"/>
      <c r="AAA303" s="590"/>
      <c r="AAD303" s="113"/>
      <c r="AAE303" s="553">
        <f t="shared" si="928"/>
        <v>1</v>
      </c>
      <c r="AAF303" s="113"/>
      <c r="AAG303" s="78">
        <f>H303</f>
        <v>41446</v>
      </c>
      <c r="AAH303" s="78">
        <f>WORKDAY(G300,5,S.DDL_DEQClosed)</f>
        <v>41446</v>
      </c>
      <c r="AAI303" s="77"/>
      <c r="AAJ303" s="77"/>
      <c r="AAK303" s="77"/>
      <c r="AAL303" s="57"/>
      <c r="AAM303" s="113"/>
      <c r="AAN303"/>
      <c r="AAT303" s="23"/>
      <c r="AAU303" s="44"/>
    </row>
    <row r="304" spans="1:732" ht="15" outlineLevel="1">
      <c r="A304" s="560"/>
      <c r="B304" s="416" t="s">
        <v>68</v>
      </c>
      <c r="C304" s="169"/>
      <c r="D304" s="278" t="s">
        <v>167</v>
      </c>
      <c r="E304" s="369">
        <f>NETWORKDAYS(G304,H304,S.DDL_DEQClosed)</f>
        <v>12</v>
      </c>
      <c r="F304" s="494">
        <f ca="1">NETWORKDAYS(TODAY(),H304)</f>
        <v>60</v>
      </c>
      <c r="G304" s="498">
        <f t="shared" si="932"/>
        <v>41446</v>
      </c>
      <c r="H304" s="498">
        <f t="shared" si="932"/>
        <v>41464</v>
      </c>
      <c r="I304" s="629"/>
      <c r="J304" s="594"/>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20"/>
      <c r="ZZ304" s="50"/>
      <c r="AAA304" s="590"/>
      <c r="AAD304" s="113"/>
      <c r="AAE304" s="553">
        <f t="shared" si="928"/>
        <v>1</v>
      </c>
      <c r="AAF304" s="113"/>
      <c r="AAG304" s="78">
        <f>H303</f>
        <v>41446</v>
      </c>
      <c r="AAH304" s="78">
        <f>G307</f>
        <v>41464</v>
      </c>
      <c r="AAI304" s="77"/>
      <c r="AAJ304" s="77"/>
      <c r="AAK304" s="77"/>
      <c r="AAL304" s="57"/>
      <c r="AAM304" s="113"/>
      <c r="AAN304"/>
      <c r="AAT304" s="23"/>
      <c r="AAU304" s="44"/>
    </row>
    <row r="305" spans="1:732" ht="15" outlineLevel="1">
      <c r="A305" s="560"/>
      <c r="B305" s="416" t="s">
        <v>51</v>
      </c>
      <c r="C305" s="169"/>
      <c r="D305" s="278" t="s">
        <v>161</v>
      </c>
      <c r="E305" s="369">
        <f>NETWORKDAYS(G305,H305,S.DDL_DEQClosed)</f>
        <v>12</v>
      </c>
      <c r="F305" s="494">
        <f ca="1">NETWORKDAYS(TODAY(),H305)</f>
        <v>60</v>
      </c>
      <c r="G305" s="498">
        <f t="shared" si="932"/>
        <v>41446</v>
      </c>
      <c r="H305" s="498">
        <f t="shared" si="932"/>
        <v>41464</v>
      </c>
      <c r="I305" s="629"/>
      <c r="J305" s="594"/>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20"/>
      <c r="ZZ305" s="50"/>
      <c r="AAA305" s="590"/>
      <c r="AAD305" s="113"/>
      <c r="AAE305" s="553">
        <f t="shared" si="928"/>
        <v>1</v>
      </c>
      <c r="AAF305" s="113"/>
      <c r="AAG305" s="78">
        <f>H303</f>
        <v>41446</v>
      </c>
      <c r="AAH305" s="78">
        <f>G308</f>
        <v>41464</v>
      </c>
      <c r="AAI305" s="77"/>
      <c r="AAJ305" s="77"/>
      <c r="AAK305" s="77"/>
      <c r="AAL305" s="57"/>
      <c r="AAM305" s="113"/>
      <c r="AAN305"/>
      <c r="AAT305" s="23"/>
      <c r="AAU305" s="44"/>
    </row>
    <row r="306" spans="1:732" ht="15" outlineLevel="1">
      <c r="A306" s="560"/>
      <c r="B306" s="675" t="s">
        <v>362</v>
      </c>
      <c r="C306" s="169"/>
      <c r="D306" s="278" t="s">
        <v>161</v>
      </c>
      <c r="E306" s="369">
        <f t="shared" ref="E306:E308" si="933">NETWORKDAYS(G306,H306,S.DDL_DEQClosed)</f>
        <v>3</v>
      </c>
      <c r="F306" s="494">
        <f t="shared" ref="F306:F311" ca="1" si="934">NETWORKDAYS(TODAY(),H306)</f>
        <v>62</v>
      </c>
      <c r="G306" s="370">
        <f t="shared" ref="G306:H308" si="935">AAG306</f>
        <v>41464</v>
      </c>
      <c r="H306" s="370">
        <f>AAH306</f>
        <v>41466</v>
      </c>
      <c r="I306" s="629"/>
      <c r="J306" s="594"/>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20"/>
      <c r="ZZ306" s="50"/>
      <c r="AAA306" s="590"/>
      <c r="AAD306" s="113"/>
      <c r="AAE306" s="553">
        <f t="shared" si="928"/>
        <v>1</v>
      </c>
      <c r="AAF306" s="113"/>
      <c r="AAG306" s="78">
        <f>WORKDAY(S.MgrNoticeApproval,-2,S.DDL_DEQClosed)</f>
        <v>41464</v>
      </c>
      <c r="AAH306" s="78">
        <f>S.MgrNoticeApproval</f>
        <v>41466</v>
      </c>
      <c r="AAI306" s="77"/>
      <c r="AAJ306" s="77"/>
      <c r="AAK306" s="77"/>
      <c r="AAL306" s="89" t="str">
        <f>"Obtain "&amp;S.CodeName&amp;" BUDGET-REVIEW.FISCAL.4.00"</f>
        <v>Obtain  BUDGET-REVIEW.FISCAL.4.00</v>
      </c>
      <c r="AAM306" s="113"/>
      <c r="AAN306"/>
      <c r="AAT306" s="23"/>
      <c r="AAU306" s="44"/>
    </row>
    <row r="307" spans="1:732" ht="15" outlineLevel="1">
      <c r="A307" s="560"/>
      <c r="B307" s="417" t="s">
        <v>363</v>
      </c>
      <c r="C307" s="169"/>
      <c r="D307" s="278" t="s">
        <v>161</v>
      </c>
      <c r="E307" s="369">
        <f t="shared" si="933"/>
        <v>1</v>
      </c>
      <c r="F307" s="494">
        <f t="shared" ca="1" si="934"/>
        <v>60</v>
      </c>
      <c r="G307" s="370">
        <f t="shared" si="935"/>
        <v>41464</v>
      </c>
      <c r="H307" s="371">
        <f t="shared" si="935"/>
        <v>41464</v>
      </c>
      <c r="I307" s="629"/>
      <c r="J307" s="594"/>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20"/>
      <c r="ZZ307" s="50"/>
      <c r="AAA307" s="590"/>
      <c r="AAD307" s="113"/>
      <c r="AAE307" s="553">
        <f t="shared" si="928"/>
        <v>1</v>
      </c>
      <c r="AAF307" s="113"/>
      <c r="AAG307" s="78">
        <f>AAG306</f>
        <v>41464</v>
      </c>
      <c r="AAH307" s="78">
        <f t="shared" ref="AAH307:AAH309" si="936">G307</f>
        <v>41464</v>
      </c>
      <c r="AAI307" s="77"/>
      <c r="AAJ307" s="77"/>
      <c r="AAK307" s="77"/>
      <c r="AAL307" s="89" t="str">
        <f>"Verify "&amp;S.CodeName&amp;"compilation of PROPOSED.RULES"</f>
        <v>Verify compilation of PROPOSED.RULES</v>
      </c>
      <c r="AAM307" s="113"/>
      <c r="AAN307"/>
      <c r="AAT307" s="23"/>
      <c r="AAU307" s="44"/>
    </row>
    <row r="308" spans="1:732" ht="15" outlineLevel="1">
      <c r="A308" s="560"/>
      <c r="B308" s="661" t="s">
        <v>336</v>
      </c>
      <c r="C308" s="169"/>
      <c r="D308" s="280" t="s">
        <v>335</v>
      </c>
      <c r="E308" s="369">
        <f t="shared" si="933"/>
        <v>3</v>
      </c>
      <c r="F308" s="494">
        <f t="shared" ca="1" si="934"/>
        <v>62</v>
      </c>
      <c r="G308" s="370">
        <f>AAG308</f>
        <v>41464</v>
      </c>
      <c r="H308" s="370">
        <f t="shared" si="935"/>
        <v>41466</v>
      </c>
      <c r="I308" s="629"/>
      <c r="J308" s="594"/>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20"/>
      <c r="ZZ308" s="50"/>
      <c r="AAA308" s="590"/>
      <c r="AAD308" s="113"/>
      <c r="AAE308" s="553">
        <f t="shared" si="928"/>
        <v>1</v>
      </c>
      <c r="AAF308" s="113"/>
      <c r="AAG308" s="78">
        <f>WORKDAY(AAG309,-2,S.DDL_DEQClosed)</f>
        <v>41464</v>
      </c>
      <c r="AAH308" s="78">
        <f>G309</f>
        <v>41466</v>
      </c>
      <c r="AAI308" s="77"/>
      <c r="AAJ308" s="77"/>
      <c r="AAK308" s="77"/>
      <c r="AAL308" s="57"/>
      <c r="AAM308" s="113"/>
      <c r="AAN308"/>
      <c r="AAT308" s="23"/>
      <c r="AAU308" s="44"/>
    </row>
    <row r="309" spans="1:732" ht="15.75" customHeight="1" outlineLevel="1">
      <c r="A309" s="560"/>
      <c r="B309" s="416" t="s">
        <v>308</v>
      </c>
      <c r="C309" s="169"/>
      <c r="D309" s="278" t="s">
        <v>161</v>
      </c>
      <c r="E309" s="449">
        <f>NETWORKDAYS(G309,H309,S.DDL_DEQClosed)</f>
        <v>1</v>
      </c>
      <c r="F309" s="494">
        <f t="shared" ca="1" si="934"/>
        <v>62</v>
      </c>
      <c r="G309" s="370">
        <f>AAG309</f>
        <v>41466</v>
      </c>
      <c r="H309" s="371">
        <f>AAH309</f>
        <v>41466</v>
      </c>
      <c r="I309" s="629"/>
      <c r="J309" s="594"/>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20"/>
      <c r="ZZ309" s="50"/>
      <c r="AAA309" s="590"/>
      <c r="AAD309" s="113"/>
      <c r="AAE309" s="553">
        <f t="shared" si="928"/>
        <v>1</v>
      </c>
      <c r="AAF309" s="113"/>
      <c r="AAG309" s="78">
        <f>WORKDAY(S.SubmitNoticeToSOS,-2,S.DDL_DEQClosed)</f>
        <v>41466</v>
      </c>
      <c r="AAH309" s="78">
        <f t="shared" si="936"/>
        <v>41466</v>
      </c>
      <c r="AAI309" s="77"/>
      <c r="AAJ309" s="77"/>
      <c r="AAK309" s="77"/>
      <c r="AAL309" s="57"/>
      <c r="AAM309" s="113"/>
      <c r="AAN309"/>
      <c r="AAT309" s="23"/>
      <c r="AAU309" s="44"/>
    </row>
    <row r="310" spans="1:732" ht="15" outlineLevel="1">
      <c r="A310" s="560"/>
      <c r="B310" s="344" t="s">
        <v>50</v>
      </c>
      <c r="C310" s="169"/>
      <c r="D310" s="278" t="s">
        <v>49</v>
      </c>
      <c r="E310" s="449">
        <f t="shared" ref="E310" si="937">NETWORKDAYS(G310,H310,S.DDL_DEQClosed)</f>
        <v>1</v>
      </c>
      <c r="F310" s="494">
        <f t="shared" ca="1" si="934"/>
        <v>62</v>
      </c>
      <c r="G310" s="473">
        <f t="shared" ref="G310:H311" si="938">AAG310</f>
        <v>41466</v>
      </c>
      <c r="H310" s="370">
        <f t="shared" si="938"/>
        <v>41466</v>
      </c>
      <c r="I310" s="629"/>
      <c r="J310" s="594"/>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20"/>
      <c r="ZZ310" s="50"/>
      <c r="AAA310" s="590"/>
      <c r="AAD310" s="113"/>
      <c r="AAE310" s="553">
        <f>IF(S.InvolveSIP=TRUE,1,0)</f>
        <v>0</v>
      </c>
      <c r="AAF310" s="113"/>
      <c r="AAG310" s="78">
        <f>H309</f>
        <v>41466</v>
      </c>
      <c r="AAH310" s="78">
        <f t="shared" ref="AAH310" si="939">G310</f>
        <v>41466</v>
      </c>
      <c r="AAI310" s="77"/>
      <c r="AAJ310" s="77"/>
      <c r="AAK310" s="77"/>
      <c r="AAL310" s="57" t="s">
        <v>0</v>
      </c>
      <c r="AAM310" s="113"/>
      <c r="AAN310"/>
      <c r="AAT310" s="23"/>
      <c r="AAU310" s="44"/>
    </row>
    <row r="311" spans="1:732" ht="15" outlineLevel="1">
      <c r="A311" s="560"/>
      <c r="B311" s="344" t="s">
        <v>246</v>
      </c>
      <c r="C311" s="169"/>
      <c r="D311" s="278" t="s">
        <v>309</v>
      </c>
      <c r="E311" s="449">
        <f>NETWORKDAYS(G311,H311,S.DDL_DEQClosed)</f>
        <v>3</v>
      </c>
      <c r="F311" s="494">
        <f t="shared" ca="1" si="934"/>
        <v>64</v>
      </c>
      <c r="G311" s="370">
        <f t="shared" si="938"/>
        <v>41466</v>
      </c>
      <c r="H311" s="658">
        <f t="shared" si="938"/>
        <v>41470</v>
      </c>
      <c r="I311" s="629"/>
      <c r="J311" s="594"/>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20"/>
      <c r="ZZ311" s="50"/>
      <c r="AAA311" s="590"/>
      <c r="AAD311" s="113"/>
      <c r="AAE311" s="553">
        <f t="shared" ref="AAE311:AAE318" si="940">IF(S.InvolveNotice=TRUE,1,0)</f>
        <v>1</v>
      </c>
      <c r="AAF311" s="113"/>
      <c r="AAG311" s="78">
        <f>G309</f>
        <v>41466</v>
      </c>
      <c r="AAH311" s="78">
        <f>S.SubmitNoticeToSOS</f>
        <v>41470</v>
      </c>
      <c r="AAI311" s="77"/>
      <c r="AAJ311" s="77"/>
      <c r="AAK311" s="77"/>
      <c r="AAL311" s="57"/>
      <c r="AAM311" s="113"/>
      <c r="AAN311"/>
      <c r="AAT311" s="23"/>
      <c r="AAU311" s="44"/>
      <c r="AAV311" s="23"/>
      <c r="AAW311" s="23"/>
      <c r="AAX311" s="23"/>
      <c r="AAY311" s="23"/>
      <c r="AAZ311" s="23"/>
      <c r="ABA311" s="23"/>
      <c r="ABB311" s="23"/>
      <c r="ABC311" s="23"/>
      <c r="ABD311" s="23"/>
    </row>
    <row r="312" spans="1:732" ht="18" outlineLevel="1">
      <c r="A312" s="560"/>
      <c r="B312" s="285" t="s">
        <v>48</v>
      </c>
      <c r="C312" s="286"/>
      <c r="D312" s="282" t="s">
        <v>0</v>
      </c>
      <c r="E312" s="401"/>
      <c r="F312" s="401"/>
      <c r="G312" s="495"/>
      <c r="H312" s="471"/>
      <c r="I312" s="590"/>
      <c r="J312" s="594"/>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20"/>
      <c r="ZZ312" s="36"/>
      <c r="AAA312" s="590"/>
      <c r="AAD312" s="113"/>
      <c r="AAE312" s="553">
        <f t="shared" si="940"/>
        <v>1</v>
      </c>
      <c r="AAF312" s="585" t="s">
        <v>199</v>
      </c>
      <c r="AAG312" s="63" t="s">
        <v>0</v>
      </c>
      <c r="AAH312" s="63" t="s">
        <v>0</v>
      </c>
      <c r="AAI312" s="63"/>
      <c r="AAJ312" s="57"/>
      <c r="AAK312" s="57"/>
      <c r="AAL312" s="98" t="s">
        <v>0</v>
      </c>
      <c r="AAM312" s="113"/>
      <c r="AAN312"/>
      <c r="AAT312" s="23"/>
      <c r="AAU312" s="44"/>
    </row>
    <row r="313" spans="1:732" s="23" customFormat="1" ht="15.75" customHeight="1" outlineLevel="1">
      <c r="A313" s="560"/>
      <c r="B313" s="133" t="s">
        <v>298</v>
      </c>
      <c r="C313" s="232" t="s">
        <v>73</v>
      </c>
      <c r="D313" s="230" t="s">
        <v>216</v>
      </c>
      <c r="E313" s="373">
        <f t="shared" ref="E313" si="941">NETWORKDAYS(G313,H313,S.DDL_DEQClosed)</f>
        <v>14</v>
      </c>
      <c r="F313" s="494">
        <f t="shared" ref="F313" ca="1" si="942">NETWORKDAYS(TODAY(),H313,S.DDL_DEQClosed)</f>
        <v>73</v>
      </c>
      <c r="G313" s="667">
        <f>AAG313</f>
        <v>41470</v>
      </c>
      <c r="H313" s="666">
        <f>AAH313</f>
        <v>41487</v>
      </c>
      <c r="I313" s="629"/>
      <c r="J313" s="593"/>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c r="DV313" s="47"/>
      <c r="DW313" s="47"/>
      <c r="DX313" s="47"/>
      <c r="DY313" s="47"/>
      <c r="DZ313" s="47"/>
      <c r="EA313" s="47"/>
      <c r="EB313" s="47"/>
      <c r="EC313" s="47"/>
      <c r="ED313" s="47"/>
      <c r="EE313" s="47"/>
      <c r="EF313" s="47"/>
      <c r="EG313" s="47"/>
      <c r="EH313" s="47"/>
      <c r="EI313" s="47"/>
      <c r="EJ313" s="47"/>
      <c r="EK313" s="47"/>
      <c r="EL313" s="47"/>
      <c r="EM313" s="47"/>
      <c r="EN313" s="47"/>
      <c r="EO313" s="47"/>
      <c r="EP313" s="47"/>
      <c r="EQ313" s="47"/>
      <c r="ER313" s="47"/>
      <c r="ES313" s="47"/>
      <c r="ET313" s="47"/>
      <c r="EU313" s="47"/>
      <c r="EV313" s="47"/>
      <c r="EW313" s="47"/>
      <c r="EX313" s="47"/>
      <c r="EY313" s="47"/>
      <c r="EZ313" s="47"/>
      <c r="FA313" s="47"/>
      <c r="FB313" s="47"/>
      <c r="FC313" s="47"/>
      <c r="FD313" s="47"/>
      <c r="FE313" s="47"/>
      <c r="FF313" s="47"/>
      <c r="FG313" s="47"/>
      <c r="FH313" s="47"/>
      <c r="FI313" s="47"/>
      <c r="FJ313" s="47"/>
      <c r="FK313" s="47"/>
      <c r="FL313" s="47"/>
      <c r="FM313" s="47"/>
      <c r="FN313" s="47"/>
      <c r="FO313" s="47"/>
      <c r="FP313" s="47"/>
      <c r="FQ313" s="47"/>
      <c r="FR313" s="47"/>
      <c r="FS313" s="47"/>
      <c r="FT313" s="47"/>
      <c r="FU313" s="47"/>
      <c r="FV313" s="47"/>
      <c r="FW313" s="47"/>
      <c r="FX313" s="47"/>
      <c r="FY313" s="47"/>
      <c r="FZ313" s="47"/>
      <c r="GA313" s="47"/>
      <c r="GB313" s="47"/>
      <c r="GC313" s="47"/>
      <c r="GD313" s="47"/>
      <c r="GE313" s="47"/>
      <c r="GF313" s="47"/>
      <c r="GG313" s="47"/>
      <c r="GH313" s="47"/>
      <c r="GI313" s="47"/>
      <c r="GJ313" s="47"/>
      <c r="GK313" s="47"/>
      <c r="GL313" s="47"/>
      <c r="GM313" s="47"/>
      <c r="GN313" s="47"/>
      <c r="GO313" s="47"/>
      <c r="GP313" s="47"/>
      <c r="GQ313" s="47"/>
      <c r="GR313" s="47"/>
      <c r="GS313" s="47"/>
      <c r="GT313" s="47"/>
      <c r="GU313" s="47"/>
      <c r="GV313" s="47"/>
      <c r="GW313" s="47"/>
      <c r="GX313" s="47"/>
      <c r="GY313" s="47"/>
      <c r="GZ313" s="47"/>
      <c r="HA313" s="47"/>
      <c r="HB313" s="47"/>
      <c r="HC313" s="47"/>
      <c r="HD313" s="47"/>
      <c r="HE313" s="47"/>
      <c r="HF313" s="47"/>
      <c r="HG313" s="47"/>
      <c r="HH313" s="47"/>
      <c r="HI313" s="47"/>
      <c r="HJ313" s="47"/>
      <c r="HK313" s="47"/>
      <c r="HL313" s="47"/>
      <c r="HM313" s="47"/>
      <c r="HN313" s="47"/>
      <c r="HO313" s="47"/>
      <c r="HP313" s="47"/>
      <c r="HQ313" s="47"/>
      <c r="HR313" s="47"/>
      <c r="HS313" s="47"/>
      <c r="HT313" s="47"/>
      <c r="HU313" s="47"/>
      <c r="HV313" s="47"/>
      <c r="HW313" s="47"/>
      <c r="HX313" s="47"/>
      <c r="HY313" s="47"/>
      <c r="HZ313" s="47"/>
      <c r="IA313" s="47"/>
      <c r="IB313" s="47"/>
      <c r="IC313" s="47"/>
      <c r="ID313" s="47"/>
      <c r="IE313" s="47"/>
      <c r="IF313" s="47"/>
      <c r="IG313" s="47"/>
      <c r="IH313" s="47"/>
      <c r="II313" s="47"/>
      <c r="IJ313" s="47"/>
      <c r="IK313" s="47"/>
      <c r="IL313" s="47"/>
      <c r="IM313" s="47"/>
      <c r="IN313" s="47"/>
      <c r="IO313" s="47"/>
      <c r="IP313" s="47"/>
      <c r="IQ313" s="47"/>
      <c r="IR313" s="47"/>
      <c r="IS313" s="47"/>
      <c r="IT313" s="47"/>
      <c r="IU313" s="47"/>
      <c r="IV313" s="47"/>
      <c r="IW313" s="47"/>
      <c r="IX313" s="47"/>
      <c r="IY313" s="47"/>
      <c r="IZ313" s="47"/>
      <c r="JA313" s="47"/>
      <c r="JB313" s="47"/>
      <c r="JC313" s="47"/>
      <c r="JD313" s="47"/>
      <c r="JE313" s="47"/>
      <c r="JF313" s="47"/>
      <c r="JG313" s="47"/>
      <c r="JH313" s="47"/>
      <c r="JI313" s="47"/>
      <c r="JJ313" s="47"/>
      <c r="JK313" s="47"/>
      <c r="JL313" s="47"/>
      <c r="JM313" s="47"/>
      <c r="JN313" s="47"/>
      <c r="JO313" s="47"/>
      <c r="JP313" s="47"/>
      <c r="JQ313" s="47"/>
      <c r="JR313" s="47"/>
      <c r="JS313" s="47"/>
      <c r="JT313" s="47"/>
      <c r="JU313" s="47"/>
      <c r="JV313" s="47"/>
      <c r="JW313" s="47"/>
      <c r="JX313" s="47"/>
      <c r="JY313" s="47"/>
      <c r="JZ313" s="47"/>
      <c r="KA313" s="47"/>
      <c r="KB313" s="47"/>
      <c r="KC313" s="47"/>
      <c r="KD313" s="47"/>
      <c r="KE313" s="47"/>
      <c r="KF313" s="47"/>
      <c r="KG313" s="47"/>
      <c r="KH313" s="47"/>
      <c r="KI313" s="47"/>
      <c r="KJ313" s="47"/>
      <c r="KK313" s="47"/>
      <c r="KL313" s="47"/>
      <c r="KM313" s="47"/>
      <c r="KN313" s="47"/>
      <c r="KO313" s="47"/>
      <c r="KP313" s="47"/>
      <c r="KQ313" s="47"/>
      <c r="KR313" s="47"/>
      <c r="KS313" s="47"/>
      <c r="KT313" s="47"/>
      <c r="KU313" s="47"/>
      <c r="KV313" s="47"/>
      <c r="KW313" s="47"/>
      <c r="KX313" s="47"/>
      <c r="KY313" s="47"/>
      <c r="KZ313" s="47"/>
      <c r="LA313" s="47"/>
      <c r="LB313" s="47"/>
      <c r="LC313" s="47"/>
      <c r="LD313" s="47"/>
      <c r="LE313" s="47"/>
      <c r="LF313" s="47"/>
      <c r="LG313" s="47"/>
      <c r="LH313" s="47"/>
      <c r="LI313" s="47"/>
      <c r="LJ313" s="47"/>
      <c r="LK313" s="47"/>
      <c r="LL313" s="47"/>
      <c r="LM313" s="47"/>
      <c r="LN313" s="47"/>
      <c r="LO313" s="47"/>
      <c r="LP313" s="47"/>
      <c r="LQ313" s="47"/>
      <c r="LR313" s="47"/>
      <c r="LS313" s="47"/>
      <c r="LT313" s="47"/>
      <c r="LU313" s="47"/>
      <c r="LV313" s="47"/>
      <c r="LW313" s="47"/>
      <c r="LX313" s="47"/>
      <c r="LY313" s="47"/>
      <c r="LZ313" s="47"/>
      <c r="MA313" s="47"/>
      <c r="MB313" s="47"/>
      <c r="MC313" s="47"/>
      <c r="MD313" s="47"/>
      <c r="ME313" s="47"/>
      <c r="MF313" s="47"/>
      <c r="MG313" s="47"/>
      <c r="MH313" s="47"/>
      <c r="MI313" s="47"/>
      <c r="MJ313" s="47"/>
      <c r="MK313" s="47"/>
      <c r="ML313" s="47"/>
      <c r="MM313" s="47"/>
      <c r="MN313" s="47"/>
      <c r="MO313" s="47"/>
      <c r="MP313" s="47"/>
      <c r="MQ313" s="47"/>
      <c r="MR313" s="47"/>
      <c r="MS313" s="47"/>
      <c r="MT313" s="47"/>
      <c r="MU313" s="47"/>
      <c r="MV313" s="47"/>
      <c r="MW313" s="47"/>
      <c r="MX313" s="47"/>
      <c r="MY313" s="47"/>
      <c r="MZ313" s="47"/>
      <c r="NA313" s="47"/>
      <c r="NB313" s="47"/>
      <c r="NC313" s="47"/>
      <c r="ND313" s="47"/>
      <c r="NE313" s="47"/>
      <c r="NF313" s="47"/>
      <c r="NG313" s="47"/>
      <c r="NH313" s="47"/>
      <c r="NI313" s="47"/>
      <c r="NJ313" s="47"/>
      <c r="NK313" s="47"/>
      <c r="NL313" s="47"/>
      <c r="NM313" s="47"/>
      <c r="NN313" s="47"/>
      <c r="NO313" s="47"/>
      <c r="NP313" s="47"/>
      <c r="NQ313" s="47"/>
      <c r="NR313" s="47"/>
      <c r="NS313" s="47"/>
      <c r="NT313" s="47"/>
      <c r="NU313" s="47"/>
      <c r="NV313" s="47"/>
      <c r="NW313" s="47"/>
      <c r="NX313" s="47"/>
      <c r="NY313" s="47"/>
      <c r="NZ313" s="47"/>
      <c r="OA313" s="47"/>
      <c r="OB313" s="47"/>
      <c r="OC313" s="47"/>
      <c r="OD313" s="47"/>
      <c r="OE313" s="47"/>
      <c r="OF313" s="47"/>
      <c r="OG313" s="47"/>
      <c r="OH313" s="47"/>
      <c r="OI313" s="47"/>
      <c r="OJ313" s="47"/>
      <c r="OK313" s="47"/>
      <c r="OL313" s="47"/>
      <c r="OM313" s="47"/>
      <c r="ON313" s="47"/>
      <c r="OO313" s="47"/>
      <c r="OP313" s="47"/>
      <c r="OQ313" s="47"/>
      <c r="OR313" s="47"/>
      <c r="OS313" s="47"/>
      <c r="OT313" s="47"/>
      <c r="OU313" s="47"/>
      <c r="OV313" s="47"/>
      <c r="OW313" s="47"/>
      <c r="OX313" s="47"/>
      <c r="OY313" s="47"/>
      <c r="OZ313" s="47"/>
      <c r="PA313" s="47"/>
      <c r="PB313" s="47"/>
      <c r="PC313" s="47"/>
      <c r="PD313" s="47"/>
      <c r="PE313" s="47"/>
      <c r="PF313" s="47"/>
      <c r="PG313" s="47"/>
      <c r="PH313" s="47"/>
      <c r="PI313" s="47"/>
      <c r="PJ313" s="47"/>
      <c r="PK313" s="47"/>
      <c r="PL313" s="47"/>
      <c r="PM313" s="47"/>
      <c r="PN313" s="47"/>
      <c r="PO313" s="47"/>
      <c r="PP313" s="47"/>
      <c r="PQ313" s="47"/>
      <c r="PR313" s="47"/>
      <c r="PS313" s="47"/>
      <c r="PT313" s="47"/>
      <c r="PU313" s="47"/>
      <c r="PV313" s="47"/>
      <c r="PW313" s="47"/>
      <c r="PX313" s="47"/>
      <c r="PY313" s="47"/>
      <c r="PZ313" s="47"/>
      <c r="QA313" s="47"/>
      <c r="QB313" s="47"/>
      <c r="QC313" s="47"/>
      <c r="QD313" s="47"/>
      <c r="QE313" s="47"/>
      <c r="QF313" s="47"/>
      <c r="QG313" s="47"/>
      <c r="QH313" s="47"/>
      <c r="QI313" s="47"/>
      <c r="QJ313" s="47"/>
      <c r="QK313" s="47"/>
      <c r="QL313" s="47"/>
      <c r="QM313" s="47"/>
      <c r="QN313" s="47"/>
      <c r="QO313" s="47"/>
      <c r="QP313" s="47"/>
      <c r="QQ313" s="47"/>
      <c r="QR313" s="47"/>
      <c r="QS313" s="47"/>
      <c r="QT313" s="47"/>
      <c r="QU313" s="47"/>
      <c r="QV313" s="47"/>
      <c r="QW313" s="47"/>
      <c r="QX313" s="47"/>
      <c r="QY313" s="47"/>
      <c r="QZ313" s="47"/>
      <c r="RA313" s="47"/>
      <c r="RB313" s="47"/>
      <c r="RC313" s="47"/>
      <c r="RD313" s="47"/>
      <c r="RE313" s="47"/>
      <c r="RF313" s="47"/>
      <c r="RG313" s="47"/>
      <c r="RH313" s="47"/>
      <c r="RI313" s="47"/>
      <c r="RJ313" s="47"/>
      <c r="RK313" s="47"/>
      <c r="RL313" s="47"/>
      <c r="RM313" s="47"/>
      <c r="RN313" s="47"/>
      <c r="RO313" s="47"/>
      <c r="RP313" s="47"/>
      <c r="RQ313" s="47"/>
      <c r="RR313" s="47"/>
      <c r="RS313" s="47"/>
      <c r="RT313" s="47"/>
      <c r="RU313" s="47"/>
      <c r="RV313" s="47"/>
      <c r="RW313" s="47"/>
      <c r="RX313" s="47"/>
      <c r="RY313" s="47"/>
      <c r="RZ313" s="47"/>
      <c r="SA313" s="47"/>
      <c r="SB313" s="47"/>
      <c r="SC313" s="47"/>
      <c r="SD313" s="47"/>
      <c r="SE313" s="47"/>
      <c r="SF313" s="47"/>
      <c r="SG313" s="47"/>
      <c r="SH313" s="47"/>
      <c r="SI313" s="47"/>
      <c r="SJ313" s="47"/>
      <c r="SK313" s="47"/>
      <c r="SL313" s="47"/>
      <c r="SM313" s="47"/>
      <c r="SN313" s="47"/>
      <c r="SO313" s="47"/>
      <c r="SP313" s="47"/>
      <c r="SQ313" s="47"/>
      <c r="SR313" s="47"/>
      <c r="SS313" s="47"/>
      <c r="ST313" s="47"/>
      <c r="SU313" s="47"/>
      <c r="SV313" s="47"/>
      <c r="SW313" s="47"/>
      <c r="SX313" s="47"/>
      <c r="SY313" s="47"/>
      <c r="SZ313" s="47"/>
      <c r="TA313" s="47"/>
      <c r="TB313" s="47"/>
      <c r="TC313" s="47"/>
      <c r="TD313" s="47"/>
      <c r="TE313" s="47"/>
      <c r="TF313" s="47"/>
      <c r="TG313" s="47"/>
      <c r="TH313" s="47"/>
      <c r="TI313" s="47"/>
      <c r="TJ313" s="47"/>
      <c r="TK313" s="47"/>
      <c r="TL313" s="47"/>
      <c r="TM313" s="47"/>
      <c r="TN313" s="47"/>
      <c r="TO313" s="47"/>
      <c r="TP313" s="47"/>
      <c r="TQ313" s="47"/>
      <c r="TR313" s="47"/>
      <c r="TS313" s="47"/>
      <c r="TT313" s="47"/>
      <c r="TU313" s="47"/>
      <c r="TV313" s="47"/>
      <c r="TW313" s="47"/>
      <c r="TX313" s="47"/>
      <c r="TY313" s="47"/>
      <c r="TZ313" s="47"/>
      <c r="UA313" s="47"/>
      <c r="UB313" s="47"/>
      <c r="UC313" s="47"/>
      <c r="UD313" s="47"/>
      <c r="UE313" s="47"/>
      <c r="UF313" s="47"/>
      <c r="UG313" s="47"/>
      <c r="UH313" s="47"/>
      <c r="UI313" s="47"/>
      <c r="UJ313" s="47"/>
      <c r="UK313" s="47"/>
      <c r="UL313" s="47"/>
      <c r="UM313" s="47"/>
      <c r="UN313" s="47"/>
      <c r="UO313" s="47"/>
      <c r="UP313" s="47"/>
      <c r="UQ313" s="47"/>
      <c r="UR313" s="47"/>
      <c r="US313" s="47"/>
      <c r="UT313" s="47"/>
      <c r="UU313" s="47"/>
      <c r="UV313" s="47"/>
      <c r="UW313" s="47"/>
      <c r="UX313" s="47"/>
      <c r="UY313" s="47"/>
      <c r="UZ313" s="47"/>
      <c r="VA313" s="47"/>
      <c r="VB313" s="47"/>
      <c r="VC313" s="47"/>
      <c r="VD313" s="47"/>
      <c r="VE313" s="47"/>
      <c r="VF313" s="47"/>
      <c r="VG313" s="47"/>
      <c r="VH313" s="47"/>
      <c r="VI313" s="47"/>
      <c r="VJ313" s="47"/>
      <c r="VK313" s="47"/>
      <c r="VL313" s="47"/>
      <c r="VM313" s="47"/>
      <c r="VN313" s="47"/>
      <c r="VO313" s="47"/>
      <c r="VP313" s="47"/>
      <c r="VQ313" s="47"/>
      <c r="VR313" s="47"/>
      <c r="VS313" s="47"/>
      <c r="VT313" s="47"/>
      <c r="VU313" s="47"/>
      <c r="VV313" s="47"/>
      <c r="VW313" s="47"/>
      <c r="VX313" s="47"/>
      <c r="VY313" s="47"/>
      <c r="VZ313" s="47"/>
      <c r="WA313" s="47"/>
      <c r="WB313" s="47"/>
      <c r="WC313" s="47"/>
      <c r="WD313" s="47"/>
      <c r="WE313" s="47"/>
      <c r="WF313" s="47"/>
      <c r="WG313" s="47"/>
      <c r="WH313" s="47"/>
      <c r="WI313" s="47"/>
      <c r="WJ313" s="47"/>
      <c r="WK313" s="47"/>
      <c r="WL313" s="47"/>
      <c r="WM313" s="47"/>
      <c r="WN313" s="47"/>
      <c r="WO313" s="47"/>
      <c r="WP313" s="47"/>
      <c r="WQ313" s="47"/>
      <c r="WR313" s="47"/>
      <c r="WS313" s="47"/>
      <c r="WT313" s="47"/>
      <c r="WU313" s="47"/>
      <c r="WV313" s="47"/>
      <c r="WW313" s="47"/>
      <c r="WX313" s="47"/>
      <c r="WY313" s="47"/>
      <c r="WZ313" s="47"/>
      <c r="XA313" s="47"/>
      <c r="XB313" s="47"/>
      <c r="XC313" s="47"/>
      <c r="XD313" s="47"/>
      <c r="XE313" s="47"/>
      <c r="XF313" s="47"/>
      <c r="XG313" s="47"/>
      <c r="XH313" s="47"/>
      <c r="XI313" s="47"/>
      <c r="XJ313" s="47"/>
      <c r="XK313" s="47"/>
      <c r="XL313" s="47"/>
      <c r="XM313" s="47"/>
      <c r="XN313" s="47"/>
      <c r="XO313" s="47"/>
      <c r="XP313" s="47"/>
      <c r="XQ313" s="47"/>
      <c r="XR313" s="47"/>
      <c r="XS313" s="47"/>
      <c r="XT313" s="47"/>
      <c r="XU313" s="47"/>
      <c r="XV313" s="47"/>
      <c r="XW313" s="47"/>
      <c r="XX313" s="47"/>
      <c r="XY313" s="47"/>
      <c r="XZ313" s="47"/>
      <c r="YA313" s="47"/>
      <c r="YB313" s="47"/>
      <c r="YC313" s="47"/>
      <c r="YD313" s="47"/>
      <c r="YE313" s="47"/>
      <c r="YF313" s="47"/>
      <c r="YG313" s="47"/>
      <c r="YH313" s="47"/>
      <c r="YI313" s="47"/>
      <c r="YJ313" s="47"/>
      <c r="YK313" s="47"/>
      <c r="YL313" s="47"/>
      <c r="YM313" s="47"/>
      <c r="YN313" s="47"/>
      <c r="YO313" s="47"/>
      <c r="YP313" s="47"/>
      <c r="YQ313" s="47"/>
      <c r="YR313" s="47"/>
      <c r="YS313" s="47"/>
      <c r="YT313" s="47"/>
      <c r="YU313" s="47"/>
      <c r="YV313" s="47"/>
      <c r="YW313" s="47"/>
      <c r="YX313" s="47"/>
      <c r="YY313" s="47"/>
      <c r="YZ313" s="47"/>
      <c r="ZA313" s="47"/>
      <c r="ZB313" s="47"/>
      <c r="ZC313" s="47"/>
      <c r="ZD313" s="47"/>
      <c r="ZE313" s="47"/>
      <c r="ZF313" s="47"/>
      <c r="ZG313" s="47"/>
      <c r="ZH313" s="47"/>
      <c r="ZI313" s="47"/>
      <c r="ZJ313" s="47"/>
      <c r="ZK313" s="47"/>
      <c r="ZL313" s="47"/>
      <c r="ZM313" s="47"/>
      <c r="ZN313" s="47"/>
      <c r="ZO313" s="47"/>
      <c r="ZP313" s="47"/>
      <c r="ZQ313" s="47"/>
      <c r="ZR313" s="47"/>
      <c r="ZS313" s="47"/>
      <c r="ZT313" s="47"/>
      <c r="ZU313" s="47"/>
      <c r="ZV313" s="47"/>
      <c r="ZW313" s="47"/>
      <c r="ZX313" s="47"/>
      <c r="ZY313" s="620"/>
      <c r="ZZ313" s="50"/>
      <c r="AAA313" s="590"/>
      <c r="AAB313"/>
      <c r="AAC313"/>
      <c r="AAD313" s="113"/>
      <c r="AAE313" s="553">
        <f t="shared" si="940"/>
        <v>1</v>
      </c>
      <c r="AAF313" s="113" t="s">
        <v>0</v>
      </c>
      <c r="AAG313" s="78">
        <f>S.SubmitNoticeToSOS</f>
        <v>41470</v>
      </c>
      <c r="AAH313" s="78">
        <f>S.PublicNoticeInBulletin</f>
        <v>41487</v>
      </c>
      <c r="AAI313" s="77"/>
      <c r="AAJ313" s="77"/>
      <c r="AAK313" s="77"/>
      <c r="AAL313" s="83" t="str">
        <f>IF(S.InvolveNotice=TRUE,"Submit/publish notice in SOS Bulletin","Notice not involved")</f>
        <v>Submit/publish notice in SOS Bulletin</v>
      </c>
      <c r="AAM313" s="113"/>
      <c r="AAU313" s="44"/>
      <c r="AAV313"/>
      <c r="AAW313"/>
      <c r="AAX313"/>
      <c r="AAY313"/>
      <c r="AAZ313"/>
      <c r="ABA313"/>
      <c r="ABB313"/>
      <c r="ABC313"/>
      <c r="ABD313"/>
    </row>
    <row r="314" spans="1:732" ht="15" outlineLevel="1">
      <c r="A314" s="560"/>
      <c r="B314" s="412" t="str">
        <f>AAL314</f>
        <v>SOS.EMAIL.PROOF</v>
      </c>
      <c r="C314" s="174"/>
      <c r="D314" s="162"/>
      <c r="E314" s="161"/>
      <c r="F314" s="161"/>
      <c r="G314" s="162"/>
      <c r="H314" s="162"/>
      <c r="I314" s="590"/>
      <c r="J314" s="594"/>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50"/>
      <c r="GW314" s="50"/>
      <c r="GX314" s="50"/>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50"/>
      <c r="IE314" s="50"/>
      <c r="IF314" s="50"/>
      <c r="IG314" s="50"/>
      <c r="IH314" s="50"/>
      <c r="II314" s="50"/>
      <c r="IJ314" s="50"/>
      <c r="IK314" s="50"/>
      <c r="IL314" s="50"/>
      <c r="IM314" s="50"/>
      <c r="IN314" s="50"/>
      <c r="IO314" s="50"/>
      <c r="IP314" s="50"/>
      <c r="IQ314" s="50"/>
      <c r="IR314" s="50"/>
      <c r="IS314" s="50"/>
      <c r="IT314" s="50"/>
      <c r="IU314" s="50"/>
      <c r="IV314" s="50"/>
      <c r="IW314" s="50"/>
      <c r="IX314" s="50"/>
      <c r="IY314" s="50"/>
      <c r="IZ314" s="50"/>
      <c r="JA314" s="50"/>
      <c r="JB314" s="50"/>
      <c r="JC314" s="50"/>
      <c r="JD314" s="50"/>
      <c r="JE314" s="50"/>
      <c r="JF314" s="50"/>
      <c r="JG314" s="50"/>
      <c r="JH314" s="50"/>
      <c r="JI314" s="50"/>
      <c r="JJ314" s="50"/>
      <c r="JK314" s="50"/>
      <c r="JL314" s="50"/>
      <c r="JM314" s="50"/>
      <c r="JN314" s="50"/>
      <c r="JO314" s="50"/>
      <c r="JP314" s="50"/>
      <c r="JQ314" s="50"/>
      <c r="JR314" s="50"/>
      <c r="JS314" s="50"/>
      <c r="JT314" s="50"/>
      <c r="JU314" s="50"/>
      <c r="JV314" s="50"/>
      <c r="JW314" s="50"/>
      <c r="JX314" s="50"/>
      <c r="JY314" s="50"/>
      <c r="JZ314" s="50"/>
      <c r="KA314" s="50"/>
      <c r="KB314" s="50"/>
      <c r="KC314" s="50"/>
      <c r="KD314" s="50"/>
      <c r="KE314" s="50"/>
      <c r="KF314" s="50"/>
      <c r="KG314" s="50"/>
      <c r="KH314" s="50"/>
      <c r="KI314" s="50"/>
      <c r="KJ314" s="50"/>
      <c r="KK314" s="50"/>
      <c r="KL314" s="50"/>
      <c r="KM314" s="50"/>
      <c r="KN314" s="50"/>
      <c r="KO314" s="50"/>
      <c r="KP314" s="50"/>
      <c r="KQ314" s="50"/>
      <c r="KR314" s="50"/>
      <c r="KS314" s="50"/>
      <c r="KT314" s="50"/>
      <c r="KU314" s="50"/>
      <c r="KV314" s="50"/>
      <c r="KW314" s="50"/>
      <c r="KX314" s="50"/>
      <c r="KY314" s="50"/>
      <c r="KZ314" s="50"/>
      <c r="LA314" s="50"/>
      <c r="LB314" s="50"/>
      <c r="LC314" s="50"/>
      <c r="LD314" s="50"/>
      <c r="LE314" s="50"/>
      <c r="LF314" s="50"/>
      <c r="LG314" s="50"/>
      <c r="LH314" s="50"/>
      <c r="LI314" s="50"/>
      <c r="LJ314" s="50"/>
      <c r="LK314" s="50"/>
      <c r="LL314" s="50"/>
      <c r="LM314" s="50"/>
      <c r="LN314" s="50"/>
      <c r="LO314" s="50"/>
      <c r="LP314" s="50"/>
      <c r="LQ314" s="50"/>
      <c r="LR314" s="50"/>
      <c r="LS314" s="50"/>
      <c r="LT314" s="50"/>
      <c r="LU314" s="50"/>
      <c r="LV314" s="50"/>
      <c r="LW314" s="50"/>
      <c r="LX314" s="50"/>
      <c r="LY314" s="50"/>
      <c r="LZ314" s="50"/>
      <c r="MA314" s="50"/>
      <c r="MB314" s="50"/>
      <c r="MC314" s="50"/>
      <c r="MD314" s="50"/>
      <c r="ME314" s="50"/>
      <c r="MF314" s="50"/>
      <c r="MG314" s="50"/>
      <c r="MH314" s="50"/>
      <c r="MI314" s="50"/>
      <c r="MJ314" s="50"/>
      <c r="MK314" s="50"/>
      <c r="ML314" s="50"/>
      <c r="MM314" s="50"/>
      <c r="MN314" s="50"/>
      <c r="MO314" s="50"/>
      <c r="MP314" s="50"/>
      <c r="MQ314" s="50"/>
      <c r="MR314" s="50"/>
      <c r="MS314" s="50"/>
      <c r="MT314" s="50"/>
      <c r="MU314" s="50"/>
      <c r="MV314" s="50"/>
      <c r="MW314" s="50"/>
      <c r="MX314" s="50"/>
      <c r="MY314" s="50"/>
      <c r="MZ314" s="50"/>
      <c r="NA314" s="50"/>
      <c r="NB314" s="50"/>
      <c r="NC314" s="50"/>
      <c r="ND314" s="50"/>
      <c r="NE314" s="50"/>
      <c r="NF314" s="50"/>
      <c r="NG314" s="50"/>
      <c r="NH314" s="50"/>
      <c r="NI314" s="50"/>
      <c r="NJ314" s="50"/>
      <c r="NK314" s="50"/>
      <c r="NL314" s="50"/>
      <c r="NM314" s="50"/>
      <c r="NN314" s="50"/>
      <c r="NO314" s="50"/>
      <c r="NP314" s="50"/>
      <c r="NQ314" s="50"/>
      <c r="NR314" s="50"/>
      <c r="NS314" s="50"/>
      <c r="NT314" s="50"/>
      <c r="NU314" s="50"/>
      <c r="NV314" s="50"/>
      <c r="NW314" s="50"/>
      <c r="NX314" s="50"/>
      <c r="NY314" s="50"/>
      <c r="NZ314" s="50"/>
      <c r="OA314" s="50"/>
      <c r="OB314" s="50"/>
      <c r="OC314" s="50"/>
      <c r="OD314" s="50"/>
      <c r="OE314" s="50"/>
      <c r="OF314" s="50"/>
      <c r="OG314" s="50"/>
      <c r="OH314" s="50"/>
      <c r="OI314" s="50"/>
      <c r="OJ314" s="50"/>
      <c r="OK314" s="50"/>
      <c r="OL314" s="50"/>
      <c r="OM314" s="50"/>
      <c r="ON314" s="50"/>
      <c r="OO314" s="50"/>
      <c r="OP314" s="50"/>
      <c r="OQ314" s="50"/>
      <c r="OR314" s="50"/>
      <c r="OS314" s="50"/>
      <c r="OT314" s="50"/>
      <c r="OU314" s="50"/>
      <c r="OV314" s="50"/>
      <c r="OW314" s="50"/>
      <c r="OX314" s="50"/>
      <c r="OY314" s="50"/>
      <c r="OZ314" s="50"/>
      <c r="PA314" s="50"/>
      <c r="PB314" s="50"/>
      <c r="PC314" s="50"/>
      <c r="PD314" s="50"/>
      <c r="PE314" s="50"/>
      <c r="PF314" s="50"/>
      <c r="PG314" s="50"/>
      <c r="PH314" s="50"/>
      <c r="PI314" s="50"/>
      <c r="PJ314" s="50"/>
      <c r="PK314" s="50"/>
      <c r="PL314" s="50"/>
      <c r="PM314" s="50"/>
      <c r="PN314" s="50"/>
      <c r="PO314" s="50"/>
      <c r="PP314" s="50"/>
      <c r="PQ314" s="50"/>
      <c r="PR314" s="50"/>
      <c r="PS314" s="50"/>
      <c r="PT314" s="50"/>
      <c r="PU314" s="50"/>
      <c r="PV314" s="50"/>
      <c r="PW314" s="50"/>
      <c r="PX314" s="50"/>
      <c r="PY314" s="50"/>
      <c r="PZ314" s="50"/>
      <c r="QA314" s="50"/>
      <c r="QB314" s="50"/>
      <c r="QC314" s="50"/>
      <c r="QD314" s="50"/>
      <c r="QE314" s="50"/>
      <c r="QF314" s="50"/>
      <c r="QG314" s="50"/>
      <c r="QH314" s="50"/>
      <c r="QI314" s="50"/>
      <c r="QJ314" s="50"/>
      <c r="QK314" s="50"/>
      <c r="QL314" s="50"/>
      <c r="QM314" s="50"/>
      <c r="QN314" s="50"/>
      <c r="QO314" s="50"/>
      <c r="QP314" s="50"/>
      <c r="QQ314" s="50"/>
      <c r="QR314" s="50"/>
      <c r="QS314" s="50"/>
      <c r="QT314" s="50"/>
      <c r="QU314" s="50"/>
      <c r="QV314" s="50"/>
      <c r="QW314" s="50"/>
      <c r="QX314" s="50"/>
      <c r="QY314" s="50"/>
      <c r="QZ314" s="50"/>
      <c r="RA314" s="50"/>
      <c r="RB314" s="50"/>
      <c r="RC314" s="50"/>
      <c r="RD314" s="50"/>
      <c r="RE314" s="50"/>
      <c r="RF314" s="50"/>
      <c r="RG314" s="50"/>
      <c r="RH314" s="50"/>
      <c r="RI314" s="50"/>
      <c r="RJ314" s="50"/>
      <c r="RK314" s="50"/>
      <c r="RL314" s="50"/>
      <c r="RM314" s="50"/>
      <c r="RN314" s="50"/>
      <c r="RO314" s="50"/>
      <c r="RP314" s="50"/>
      <c r="RQ314" s="50"/>
      <c r="RR314" s="50"/>
      <c r="RS314" s="50"/>
      <c r="RT314" s="50"/>
      <c r="RU314" s="50"/>
      <c r="RV314" s="50"/>
      <c r="RW314" s="50"/>
      <c r="RX314" s="50"/>
      <c r="RY314" s="50"/>
      <c r="RZ314" s="50"/>
      <c r="SA314" s="50"/>
      <c r="SB314" s="50"/>
      <c r="SC314" s="50"/>
      <c r="SD314" s="50"/>
      <c r="SE314" s="50"/>
      <c r="SF314" s="50"/>
      <c r="SG314" s="50"/>
      <c r="SH314" s="50"/>
      <c r="SI314" s="50"/>
      <c r="SJ314" s="50"/>
      <c r="SK314" s="50"/>
      <c r="SL314" s="50"/>
      <c r="SM314" s="50"/>
      <c r="SN314" s="50"/>
      <c r="SO314" s="50"/>
      <c r="SP314" s="50"/>
      <c r="SQ314" s="50"/>
      <c r="SR314" s="50"/>
      <c r="SS314" s="50"/>
      <c r="ST314" s="50"/>
      <c r="SU314" s="50"/>
      <c r="SV314" s="50"/>
      <c r="SW314" s="50"/>
      <c r="SX314" s="50"/>
      <c r="SY314" s="50"/>
      <c r="SZ314" s="50"/>
      <c r="TA314" s="50"/>
      <c r="TB314" s="50"/>
      <c r="TC314" s="50"/>
      <c r="TD314" s="50"/>
      <c r="TE314" s="50"/>
      <c r="TF314" s="50"/>
      <c r="TG314" s="50"/>
      <c r="TH314" s="50"/>
      <c r="TI314" s="50"/>
      <c r="TJ314" s="50"/>
      <c r="TK314" s="50"/>
      <c r="TL314" s="50"/>
      <c r="TM314" s="50"/>
      <c r="TN314" s="50"/>
      <c r="TO314" s="50"/>
      <c r="TP314" s="50"/>
      <c r="TQ314" s="50"/>
      <c r="TR314" s="50"/>
      <c r="TS314" s="50"/>
      <c r="TT314" s="50"/>
      <c r="TU314" s="50"/>
      <c r="TV314" s="50"/>
      <c r="TW314" s="50"/>
      <c r="TX314" s="50"/>
      <c r="TY314" s="50"/>
      <c r="TZ314" s="50"/>
      <c r="UA314" s="50"/>
      <c r="UB314" s="50"/>
      <c r="UC314" s="50"/>
      <c r="UD314" s="50"/>
      <c r="UE314" s="50"/>
      <c r="UF314" s="50"/>
      <c r="UG314" s="50"/>
      <c r="UH314" s="50"/>
      <c r="UI314" s="50"/>
      <c r="UJ314" s="50"/>
      <c r="UK314" s="50"/>
      <c r="UL314" s="50"/>
      <c r="UM314" s="50"/>
      <c r="UN314" s="50"/>
      <c r="UO314" s="50"/>
      <c r="UP314" s="50"/>
      <c r="UQ314" s="50"/>
      <c r="UR314" s="50"/>
      <c r="US314" s="50"/>
      <c r="UT314" s="50"/>
      <c r="UU314" s="50"/>
      <c r="UV314" s="50"/>
      <c r="UW314" s="50"/>
      <c r="UX314" s="50"/>
      <c r="UY314" s="50"/>
      <c r="UZ314" s="50"/>
      <c r="VA314" s="50"/>
      <c r="VB314" s="50"/>
      <c r="VC314" s="50"/>
      <c r="VD314" s="50"/>
      <c r="VE314" s="50"/>
      <c r="VF314" s="50"/>
      <c r="VG314" s="50"/>
      <c r="VH314" s="50"/>
      <c r="VI314" s="50"/>
      <c r="VJ314" s="50"/>
      <c r="VK314" s="50"/>
      <c r="VL314" s="50"/>
      <c r="VM314" s="50"/>
      <c r="VN314" s="50"/>
      <c r="VO314" s="50"/>
      <c r="VP314" s="50"/>
      <c r="VQ314" s="50"/>
      <c r="VR314" s="50"/>
      <c r="VS314" s="50"/>
      <c r="VT314" s="50"/>
      <c r="VU314" s="50"/>
      <c r="VV314" s="50"/>
      <c r="VW314" s="50"/>
      <c r="VX314" s="50"/>
      <c r="VY314" s="50"/>
      <c r="VZ314" s="50"/>
      <c r="WA314" s="50"/>
      <c r="WB314" s="50"/>
      <c r="WC314" s="50"/>
      <c r="WD314" s="50"/>
      <c r="WE314" s="50"/>
      <c r="WF314" s="50"/>
      <c r="WG314" s="50"/>
      <c r="WH314" s="50"/>
      <c r="WI314" s="50"/>
      <c r="WJ314" s="50"/>
      <c r="WK314" s="50"/>
      <c r="WL314" s="50"/>
      <c r="WM314" s="50"/>
      <c r="WN314" s="50"/>
      <c r="WO314" s="50"/>
      <c r="WP314" s="50"/>
      <c r="WQ314" s="50"/>
      <c r="WR314" s="50"/>
      <c r="WS314" s="50"/>
      <c r="WT314" s="50"/>
      <c r="WU314" s="50"/>
      <c r="WV314" s="50"/>
      <c r="WW314" s="50"/>
      <c r="WX314" s="50"/>
      <c r="WY314" s="50"/>
      <c r="WZ314" s="50"/>
      <c r="XA314" s="50"/>
      <c r="XB314" s="50"/>
      <c r="XC314" s="50"/>
      <c r="XD314" s="50"/>
      <c r="XE314" s="50"/>
      <c r="XF314" s="50"/>
      <c r="XG314" s="50"/>
      <c r="XH314" s="50"/>
      <c r="XI314" s="50"/>
      <c r="XJ314" s="50"/>
      <c r="XK314" s="50"/>
      <c r="XL314" s="50"/>
      <c r="XM314" s="50"/>
      <c r="XN314" s="50"/>
      <c r="XO314" s="50"/>
      <c r="XP314" s="50"/>
      <c r="XQ314" s="50"/>
      <c r="XR314" s="50"/>
      <c r="XS314" s="50"/>
      <c r="XT314" s="50"/>
      <c r="XU314" s="50"/>
      <c r="XV314" s="50"/>
      <c r="XW314" s="50"/>
      <c r="XX314" s="50"/>
      <c r="XY314" s="50"/>
      <c r="XZ314" s="50"/>
      <c r="YA314" s="50"/>
      <c r="YB314" s="50"/>
      <c r="YC314" s="50"/>
      <c r="YD314" s="50"/>
      <c r="YE314" s="50"/>
      <c r="YF314" s="50"/>
      <c r="YG314" s="50"/>
      <c r="YH314" s="50"/>
      <c r="YI314" s="50"/>
      <c r="YJ314" s="50"/>
      <c r="YK314" s="50"/>
      <c r="YL314" s="50"/>
      <c r="YM314" s="50"/>
      <c r="YN314" s="50"/>
      <c r="YO314" s="50"/>
      <c r="YP314" s="50"/>
      <c r="YQ314" s="50"/>
      <c r="YR314" s="50"/>
      <c r="YS314" s="50"/>
      <c r="YT314" s="50"/>
      <c r="YU314" s="50"/>
      <c r="YV314" s="50"/>
      <c r="YW314" s="50"/>
      <c r="YX314" s="50"/>
      <c r="YY314" s="50"/>
      <c r="YZ314" s="50"/>
      <c r="ZA314" s="50"/>
      <c r="ZB314" s="50"/>
      <c r="ZC314" s="50"/>
      <c r="ZD314" s="50"/>
      <c r="ZE314" s="50"/>
      <c r="ZF314" s="50"/>
      <c r="ZG314" s="50"/>
      <c r="ZH314" s="50"/>
      <c r="ZI314" s="50"/>
      <c r="ZJ314" s="50"/>
      <c r="ZK314" s="50"/>
      <c r="ZL314" s="50"/>
      <c r="ZM314" s="50"/>
      <c r="ZN314" s="50"/>
      <c r="ZO314" s="50"/>
      <c r="ZP314" s="50"/>
      <c r="ZQ314" s="50"/>
      <c r="ZR314" s="50"/>
      <c r="ZS314" s="50"/>
      <c r="ZT314" s="50"/>
      <c r="ZU314" s="50"/>
      <c r="ZV314" s="50"/>
      <c r="ZW314" s="50"/>
      <c r="ZX314" s="50"/>
      <c r="ZY314" s="620"/>
      <c r="ZZ314" s="36"/>
      <c r="AAA314" s="590"/>
      <c r="AAD314" s="113"/>
      <c r="AAE314" s="553">
        <f t="shared" si="940"/>
        <v>1</v>
      </c>
      <c r="AAF314" s="585" t="s">
        <v>199</v>
      </c>
      <c r="AAG314" s="76"/>
      <c r="AAH314" s="76"/>
      <c r="AAI314" s="77"/>
      <c r="AAJ314" s="77"/>
      <c r="AAK314" s="77"/>
      <c r="AAL314" s="89" t="str">
        <f>S.CodeName&amp;"SOS.EMAIL.PROOF"</f>
        <v>SOS.EMAIL.PROOF</v>
      </c>
      <c r="AAM314" s="113"/>
      <c r="AAN314"/>
      <c r="AAT314" s="23"/>
      <c r="AAU314" s="44"/>
    </row>
    <row r="315" spans="1:732" ht="15" outlineLevel="1">
      <c r="A315" s="560"/>
      <c r="B315" s="412" t="str">
        <f>AAL315</f>
        <v>SOS.NOTICE.PROOF</v>
      </c>
      <c r="C315" s="174"/>
      <c r="D315" s="162"/>
      <c r="E315" s="161"/>
      <c r="F315" s="161"/>
      <c r="G315" s="162"/>
      <c r="H315" s="162"/>
      <c r="I315" s="590"/>
      <c r="J315" s="594"/>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20"/>
      <c r="ZZ315" s="36"/>
      <c r="AAA315" s="590"/>
      <c r="AAD315" s="113"/>
      <c r="AAE315" s="553">
        <f t="shared" si="940"/>
        <v>1</v>
      </c>
      <c r="AAF315" s="585" t="s">
        <v>199</v>
      </c>
      <c r="AAG315" s="76"/>
      <c r="AAH315" s="76"/>
      <c r="AAI315" s="77"/>
      <c r="AAJ315" s="77"/>
      <c r="AAK315" s="77"/>
      <c r="AAL315" s="89" t="str">
        <f>S.CodeName&amp;"SOS.NOTICE.PROOF"</f>
        <v>SOS.NOTICE.PROOF</v>
      </c>
      <c r="AAM315" s="113"/>
      <c r="AAN315"/>
      <c r="AAT315" s="23"/>
      <c r="AAU315" s="44"/>
    </row>
    <row r="316" spans="1:732" ht="15" outlineLevel="1">
      <c r="A316" s="560"/>
      <c r="B316" s="412" t="str">
        <f>AAL316</f>
        <v>SOS.FISCAL.PROOF</v>
      </c>
      <c r="C316" s="174"/>
      <c r="D316" s="162"/>
      <c r="E316" s="161"/>
      <c r="F316" s="161"/>
      <c r="G316" s="162"/>
      <c r="H316" s="162"/>
      <c r="I316" s="590"/>
      <c r="J316" s="594"/>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20"/>
      <c r="ZZ316" s="36"/>
      <c r="AAA316" s="590"/>
      <c r="AAD316" s="113"/>
      <c r="AAE316" s="553">
        <f t="shared" si="940"/>
        <v>1</v>
      </c>
      <c r="AAF316" s="585" t="s">
        <v>199</v>
      </c>
      <c r="AAG316" s="76"/>
      <c r="AAH316" s="76"/>
      <c r="AAI316" s="77"/>
      <c r="AAJ316" s="77"/>
      <c r="AAK316" s="77"/>
      <c r="AAL316" s="89" t="str">
        <f>S.CodeName&amp;"SOS.FISCAL.PROOF"</f>
        <v>SOS.FISCAL.PROOF</v>
      </c>
      <c r="AAM316" s="113"/>
      <c r="AAN316"/>
      <c r="AAT316" s="23"/>
      <c r="AAU316" s="44"/>
      <c r="AAV316" s="23"/>
      <c r="AAW316" s="23"/>
      <c r="AAX316" s="23"/>
      <c r="AAY316" s="23"/>
      <c r="AAZ316" s="23"/>
      <c r="ABA316" s="23"/>
      <c r="ABB316" s="23"/>
      <c r="ABC316" s="23"/>
      <c r="ABD316" s="23"/>
    </row>
    <row r="317" spans="1:732" ht="15.75" customHeight="1" outlineLevel="1">
      <c r="A317" s="560"/>
      <c r="B317" s="412" t="str">
        <f>AAL317</f>
        <v>SOS.HOUSING.COSTS</v>
      </c>
      <c r="C317" s="721"/>
      <c r="D317" s="162"/>
      <c r="E317" s="161"/>
      <c r="F317" s="161"/>
      <c r="G317" s="162"/>
      <c r="H317" s="162"/>
      <c r="I317" s="590"/>
      <c r="J317" s="594"/>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20"/>
      <c r="ZZ317" s="36"/>
      <c r="AAA317" s="590"/>
      <c r="AAD317" s="113"/>
      <c r="AAE317" s="553">
        <f t="shared" si="940"/>
        <v>1</v>
      </c>
      <c r="AAF317" s="585" t="s">
        <v>199</v>
      </c>
      <c r="AAG317" s="76"/>
      <c r="AAH317" s="76"/>
      <c r="AAI317" s="77"/>
      <c r="AAJ317" s="77"/>
      <c r="AAK317" s="77"/>
      <c r="AAL317" s="89" t="str">
        <f>S.CodeName&amp;"SOS.HOUSING.COSTS"</f>
        <v>SOS.HOUSING.COSTS</v>
      </c>
      <c r="AAM317" s="113"/>
      <c r="AAN317"/>
      <c r="AAT317" s="23"/>
      <c r="AAU317" s="44"/>
      <c r="AAV317" s="23"/>
      <c r="AAW317" s="23"/>
      <c r="AAX317" s="23"/>
      <c r="AAY317" s="23"/>
      <c r="AAZ317" s="23"/>
      <c r="ABA317" s="23"/>
      <c r="ABB317" s="23"/>
      <c r="ABC317" s="23"/>
      <c r="ABD317" s="23"/>
    </row>
    <row r="318" spans="1:732" s="23" customFormat="1" ht="15.75" customHeight="1" outlineLevel="1">
      <c r="A318" s="560"/>
      <c r="B318" s="412" t="str">
        <f>AAL318</f>
        <v>LC.NOTICE</v>
      </c>
      <c r="C318" s="721"/>
      <c r="D318" s="162"/>
      <c r="E318" s="161"/>
      <c r="F318" s="161"/>
      <c r="G318" s="162"/>
      <c r="H318" s="162"/>
      <c r="I318" s="590"/>
      <c r="J318" s="594"/>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20"/>
      <c r="ZZ318" s="36"/>
      <c r="AAA318" s="590"/>
      <c r="AAB318"/>
      <c r="AAC318"/>
      <c r="AAD318" s="113"/>
      <c r="AAE318" s="553">
        <f t="shared" si="940"/>
        <v>1</v>
      </c>
      <c r="AAF318" s="585" t="s">
        <v>199</v>
      </c>
      <c r="AAG318" s="76"/>
      <c r="AAH318" s="76"/>
      <c r="AAI318" s="77"/>
      <c r="AAJ318" s="77"/>
      <c r="AAK318" s="77"/>
      <c r="AAL318" s="89" t="str">
        <f>S.CodeName&amp;"LC.NOTICE"</f>
        <v>LC.NOTICE</v>
      </c>
      <c r="AAM318" s="113"/>
      <c r="AAU318" s="44"/>
      <c r="AAV318"/>
      <c r="AAW318"/>
      <c r="AAX318"/>
      <c r="AAY318"/>
      <c r="AAZ318"/>
      <c r="ABA318"/>
      <c r="ABB318"/>
      <c r="ABC318"/>
      <c r="ABD318"/>
    </row>
    <row r="319" spans="1:732" s="23" customFormat="1" ht="15.75" customHeight="1" outlineLevel="1">
      <c r="A319" s="560"/>
      <c r="B319" s="535" t="str">
        <f>AAL322</f>
        <v>No DAS involvement at this point</v>
      </c>
      <c r="C319" s="194"/>
      <c r="D319" s="162"/>
      <c r="E319" s="161"/>
      <c r="F319" s="161"/>
      <c r="G319" s="162"/>
      <c r="H319" s="162"/>
      <c r="I319" s="629"/>
      <c r="J319" s="594"/>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20"/>
      <c r="ZZ319" s="36"/>
      <c r="AAA319" s="590"/>
      <c r="AAB319"/>
      <c r="AAC319"/>
      <c r="AAD319" s="113"/>
      <c r="AAE319" s="553">
        <f>IF(AND(S.InvolveFee=TRUE,S.DASApprovalRequired=FALSE),1,0)</f>
        <v>0</v>
      </c>
      <c r="AAF319" s="585" t="s">
        <v>199</v>
      </c>
      <c r="AAG319" s="76"/>
      <c r="AAH319" s="76"/>
      <c r="AAI319" s="77"/>
      <c r="AAJ319" s="77"/>
      <c r="AAK319" s="77"/>
      <c r="AAL319" s="89" t="str">
        <f>S.CodeName&amp;"LC.NOTICE.PROOF"</f>
        <v>LC.NOTICE.PROOF</v>
      </c>
      <c r="AAM319" s="113"/>
      <c r="AAU319" s="44"/>
      <c r="AAV319"/>
      <c r="AAW319"/>
      <c r="AAX319"/>
      <c r="AAY319"/>
      <c r="AAZ319"/>
      <c r="ABA319"/>
      <c r="ABB319"/>
      <c r="ABC319"/>
      <c r="ABD319"/>
    </row>
    <row r="320" spans="1:732" ht="15" outlineLevel="1">
      <c r="A320" s="560"/>
      <c r="B320" s="329" t="str">
        <f>AAL320</f>
        <v>DAS.EXEMPT.EMAIL</v>
      </c>
      <c r="C320" s="721"/>
      <c r="D320" s="162"/>
      <c r="E320" s="161"/>
      <c r="F320" s="161"/>
      <c r="G320" s="162"/>
      <c r="H320" s="162"/>
      <c r="I320" s="629"/>
      <c r="J320" s="594"/>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20"/>
      <c r="ZZ320" s="36"/>
      <c r="AAA320" s="590"/>
      <c r="AAD320" s="113"/>
      <c r="AAE320" s="553">
        <f>IF(AND(S.InvolveFee=TRUE,S.DASApprovalRequired=FALSE),1,0)</f>
        <v>0</v>
      </c>
      <c r="AAF320" s="585" t="s">
        <v>199</v>
      </c>
      <c r="AAG320" s="76"/>
      <c r="AAH320" s="76"/>
      <c r="AAI320" s="77"/>
      <c r="AAJ320" s="77"/>
      <c r="AAK320" s="77"/>
      <c r="AAL320" s="89" t="str">
        <f>S.CodeName&amp;"DAS.EXEMPT.EMAIL"</f>
        <v>DAS.EXEMPT.EMAIL</v>
      </c>
      <c r="AAM320" s="113"/>
      <c r="AAN320"/>
      <c r="AAT320" s="23"/>
      <c r="AAU320" s="44"/>
    </row>
    <row r="321" spans="1:723" ht="15" outlineLevel="1">
      <c r="A321" s="560"/>
      <c r="B321" s="329" t="str">
        <f>AAL321</f>
        <v>DAS.EXEMPT.EMAIL.PROOF</v>
      </c>
      <c r="C321" s="174"/>
      <c r="D321" s="162"/>
      <c r="E321" s="161"/>
      <c r="F321" s="161"/>
      <c r="G321" s="162"/>
      <c r="H321" s="162"/>
      <c r="I321" s="629"/>
      <c r="J321" s="594"/>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49"/>
      <c r="ZZ321" s="36"/>
      <c r="AAA321" s="590"/>
      <c r="AAD321" s="113"/>
      <c r="AAE321" s="553">
        <f>IF(AND(S.InvolveFee=TRUE,S.DASApprovalRequired=FALSE),1,0)</f>
        <v>0</v>
      </c>
      <c r="AAF321" s="585" t="s">
        <v>199</v>
      </c>
      <c r="AAG321" s="76"/>
      <c r="AAH321" s="76"/>
      <c r="AAI321" s="77"/>
      <c r="AAJ321" s="77"/>
      <c r="AAK321" s="77"/>
      <c r="AAL321" s="89" t="str">
        <f>S.CodeName&amp;"DAS.EXEMPT.EMAIL.PROOF"</f>
        <v>DAS.EXEMPT.EMAIL.PROOF</v>
      </c>
      <c r="AAM321" s="113"/>
      <c r="AAN321"/>
      <c r="AAT321" s="23"/>
      <c r="AAU321" s="44"/>
    </row>
    <row r="322" spans="1:723" ht="15" outlineLevel="1">
      <c r="A322" s="560"/>
      <c r="B322" s="408" t="s">
        <v>187</v>
      </c>
      <c r="C322" s="169"/>
      <c r="D322" s="278" t="s">
        <v>178</v>
      </c>
      <c r="E322" s="449">
        <f t="shared" ref="E322" si="943">NETWORKDAYS(G322,H322,S.DDL_DEQClosed)</f>
        <v>1</v>
      </c>
      <c r="F322" s="494">
        <f t="shared" ref="F322" ca="1" si="944">NETWORKDAYS(TODAY(),H322)</f>
        <v>64</v>
      </c>
      <c r="G322" s="473">
        <f t="shared" ref="G322:H322" si="945">AAG322</f>
        <v>41470</v>
      </c>
      <c r="H322" s="370">
        <f t="shared" si="945"/>
        <v>41470</v>
      </c>
      <c r="I322" s="629"/>
      <c r="J322" s="594"/>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50"/>
      <c r="ZZ322" s="50"/>
      <c r="AAA322" s="590"/>
      <c r="AAD322" s="113"/>
      <c r="AAE322" s="553">
        <f>IF(S.InvolveNotice=TRUE,1,0)</f>
        <v>1</v>
      </c>
      <c r="AAF322" s="113"/>
      <c r="AAG322" s="78">
        <f t="shared" ref="AAG322:AAG331" si="946">S.SubmitNoticeToSOS</f>
        <v>41470</v>
      </c>
      <c r="AAH322" s="78">
        <f>G322</f>
        <v>41470</v>
      </c>
      <c r="AAI322" s="77"/>
      <c r="AAJ322" s="77"/>
      <c r="AAK322" s="77"/>
      <c r="AAL322" s="89" t="str">
        <f>IF(S.DASApprovalRequired=TRUE,"No DAS involvement at this point",IF(S.InvolveFee=TRUE,"DAS notification for fees that don't require approval","No DAS involvement"))</f>
        <v>No DAS involvement at this point</v>
      </c>
      <c r="AAM322" s="113"/>
      <c r="AAN322"/>
      <c r="AAT322" s="23"/>
      <c r="AAU322" s="44"/>
    </row>
    <row r="323" spans="1:723" ht="15" outlineLevel="1">
      <c r="A323" s="560"/>
      <c r="B323" s="363" t="s">
        <v>297</v>
      </c>
      <c r="C323" s="288" t="s">
        <v>94</v>
      </c>
      <c r="D323" s="186"/>
      <c r="E323" s="187"/>
      <c r="F323" s="187"/>
      <c r="G323" s="186"/>
      <c r="H323" s="186"/>
      <c r="I323" s="590"/>
      <c r="J323" s="594"/>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644"/>
      <c r="ZZ323" s="36"/>
      <c r="AAA323" s="590"/>
      <c r="AAD323" s="113"/>
      <c r="AAE323" s="553">
        <f>IF(S.InvolveNotice=TRUE,1,0)</f>
        <v>1</v>
      </c>
      <c r="AAF323" s="585" t="s">
        <v>199</v>
      </c>
      <c r="AAG323" s="76"/>
      <c r="AAH323" s="76"/>
      <c r="AAI323" s="77"/>
      <c r="AAJ323" s="77"/>
      <c r="AAK323" s="77"/>
      <c r="AAL323" s="57"/>
      <c r="AAM323" s="113"/>
      <c r="AAN323"/>
      <c r="AAT323" s="23"/>
      <c r="AAU323" s="44"/>
    </row>
    <row r="324" spans="1:723" ht="15" outlineLevel="1">
      <c r="A324" s="560"/>
      <c r="B324" s="409" t="s">
        <v>111</v>
      </c>
      <c r="C324" s="169"/>
      <c r="D324" s="186"/>
      <c r="E324" s="187"/>
      <c r="F324" s="187"/>
      <c r="G324" s="186"/>
      <c r="H324" s="186"/>
      <c r="I324" s="590"/>
      <c r="J324" s="594"/>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20"/>
      <c r="ZZ324" s="36"/>
      <c r="AAA324" s="590"/>
      <c r="AAD324" s="113"/>
      <c r="AAE324" s="553">
        <f>IF(S.InvolveNotice=TRUE,1,0)</f>
        <v>1</v>
      </c>
      <c r="AAF324" s="585" t="s">
        <v>199</v>
      </c>
      <c r="AAG324" s="76"/>
      <c r="AAH324" s="76"/>
      <c r="AAI324" s="77"/>
      <c r="AAJ324" s="77"/>
      <c r="AAK324" s="77"/>
      <c r="AAL324" s="57"/>
      <c r="AAM324" s="113"/>
      <c r="AAN324"/>
      <c r="AAT324" s="23"/>
      <c r="AAU324" s="44"/>
    </row>
    <row r="325" spans="1:723" ht="15" outlineLevel="1">
      <c r="A325" s="560"/>
      <c r="B325" s="409" t="s">
        <v>127</v>
      </c>
      <c r="C325" s="229" t="s">
        <v>94</v>
      </c>
      <c r="D325" s="186"/>
      <c r="E325" s="187"/>
      <c r="F325" s="187"/>
      <c r="G325" s="186"/>
      <c r="H325" s="186"/>
      <c r="I325" s="590"/>
      <c r="J325" s="598"/>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2"/>
      <c r="DE325" s="52"/>
      <c r="DF325" s="52"/>
      <c r="DG325" s="52"/>
      <c r="DH325" s="52"/>
      <c r="DI325" s="52"/>
      <c r="DJ325" s="52"/>
      <c r="DK325" s="52"/>
      <c r="DL325" s="52"/>
      <c r="DM325" s="52"/>
      <c r="DN325" s="52"/>
      <c r="DO325" s="52"/>
      <c r="DP325" s="52"/>
      <c r="DQ325" s="52"/>
      <c r="DR325" s="52"/>
      <c r="DS325" s="52"/>
      <c r="DT325" s="52"/>
      <c r="DU325" s="52"/>
      <c r="DV325" s="52"/>
      <c r="DW325" s="52"/>
      <c r="DX325" s="52"/>
      <c r="DY325" s="52"/>
      <c r="DZ325" s="52"/>
      <c r="EA325" s="52"/>
      <c r="EB325" s="52"/>
      <c r="EC325" s="52"/>
      <c r="ED325" s="52"/>
      <c r="EE325" s="52"/>
      <c r="EF325" s="52"/>
      <c r="EG325" s="52"/>
      <c r="EH325" s="52"/>
      <c r="EI325" s="52"/>
      <c r="EJ325" s="52"/>
      <c r="EK325" s="52"/>
      <c r="EL325" s="52"/>
      <c r="EM325" s="52"/>
      <c r="EN325" s="52"/>
      <c r="EO325" s="52"/>
      <c r="EP325" s="52"/>
      <c r="EQ325" s="52"/>
      <c r="ER325" s="52"/>
      <c r="ES325" s="52"/>
      <c r="ET325" s="52"/>
      <c r="EU325" s="52"/>
      <c r="EV325" s="52"/>
      <c r="EW325" s="52"/>
      <c r="EX325" s="52"/>
      <c r="EY325" s="52"/>
      <c r="EZ325" s="52"/>
      <c r="FA325" s="52"/>
      <c r="FB325" s="52"/>
      <c r="FC325" s="52"/>
      <c r="FD325" s="52"/>
      <c r="FE325" s="52"/>
      <c r="FF325" s="52"/>
      <c r="FG325" s="52"/>
      <c r="FH325" s="52"/>
      <c r="FI325" s="52"/>
      <c r="FJ325" s="52"/>
      <c r="FK325" s="52"/>
      <c r="FL325" s="52"/>
      <c r="FM325" s="52"/>
      <c r="FN325" s="52"/>
      <c r="FO325" s="52"/>
      <c r="FP325" s="52"/>
      <c r="FQ325" s="52"/>
      <c r="FR325" s="52"/>
      <c r="FS325" s="52"/>
      <c r="FT325" s="52"/>
      <c r="FU325" s="52"/>
      <c r="FV325" s="52"/>
      <c r="FW325" s="52"/>
      <c r="FX325" s="52"/>
      <c r="FY325" s="52"/>
      <c r="FZ325" s="52"/>
      <c r="GA325" s="52"/>
      <c r="GB325" s="52"/>
      <c r="GC325" s="52"/>
      <c r="GD325" s="52"/>
      <c r="GE325" s="52"/>
      <c r="GF325" s="52"/>
      <c r="GG325" s="52"/>
      <c r="GH325" s="52"/>
      <c r="GI325" s="52"/>
      <c r="GJ325" s="52"/>
      <c r="GK325" s="52"/>
      <c r="GL325" s="52"/>
      <c r="GM325" s="52"/>
      <c r="GN325" s="52"/>
      <c r="GO325" s="52"/>
      <c r="GP325" s="52"/>
      <c r="GQ325" s="52"/>
      <c r="GR325" s="52"/>
      <c r="GS325" s="52"/>
      <c r="GT325" s="52"/>
      <c r="GU325" s="52"/>
      <c r="GV325" s="52"/>
      <c r="GW325" s="52"/>
      <c r="GX325" s="52"/>
      <c r="GY325" s="52"/>
      <c r="GZ325" s="52"/>
      <c r="HA325" s="52"/>
      <c r="HB325" s="52"/>
      <c r="HC325" s="52"/>
      <c r="HD325" s="52"/>
      <c r="HE325" s="52"/>
      <c r="HF325" s="52"/>
      <c r="HG325" s="52"/>
      <c r="HH325" s="52"/>
      <c r="HI325" s="52"/>
      <c r="HJ325" s="52"/>
      <c r="HK325" s="52"/>
      <c r="HL325" s="52"/>
      <c r="HM325" s="52"/>
      <c r="HN325" s="52"/>
      <c r="HO325" s="52"/>
      <c r="HP325" s="52"/>
      <c r="HQ325" s="52"/>
      <c r="HR325" s="52"/>
      <c r="HS325" s="52"/>
      <c r="HT325" s="52"/>
      <c r="HU325" s="52"/>
      <c r="HV325" s="52"/>
      <c r="HW325" s="52"/>
      <c r="HX325" s="52"/>
      <c r="HY325" s="52"/>
      <c r="HZ325" s="52"/>
      <c r="IA325" s="52"/>
      <c r="IB325" s="52"/>
      <c r="IC325" s="52"/>
      <c r="ID325" s="52"/>
      <c r="IE325" s="52"/>
      <c r="IF325" s="52"/>
      <c r="IG325" s="52"/>
      <c r="IH325" s="52"/>
      <c r="II325" s="52"/>
      <c r="IJ325" s="52"/>
      <c r="IK325" s="52"/>
      <c r="IL325" s="52"/>
      <c r="IM325" s="52"/>
      <c r="IN325" s="52"/>
      <c r="IO325" s="52"/>
      <c r="IP325" s="52"/>
      <c r="IQ325" s="52"/>
      <c r="IR325" s="52"/>
      <c r="IS325" s="52"/>
      <c r="IT325" s="52"/>
      <c r="IU325" s="52"/>
      <c r="IV325" s="52"/>
      <c r="IW325" s="52"/>
      <c r="IX325" s="52"/>
      <c r="IY325" s="52"/>
      <c r="IZ325" s="52"/>
      <c r="JA325" s="52"/>
      <c r="JB325" s="52"/>
      <c r="JC325" s="52"/>
      <c r="JD325" s="52"/>
      <c r="JE325" s="52"/>
      <c r="JF325" s="52"/>
      <c r="JG325" s="52"/>
      <c r="JH325" s="52"/>
      <c r="JI325" s="52"/>
      <c r="JJ325" s="52"/>
      <c r="JK325" s="52"/>
      <c r="JL325" s="52"/>
      <c r="JM325" s="52"/>
      <c r="JN325" s="52"/>
      <c r="JO325" s="52"/>
      <c r="JP325" s="52"/>
      <c r="JQ325" s="52"/>
      <c r="JR325" s="52"/>
      <c r="JS325" s="52"/>
      <c r="JT325" s="52"/>
      <c r="JU325" s="52"/>
      <c r="JV325" s="52"/>
      <c r="JW325" s="52"/>
      <c r="JX325" s="52"/>
      <c r="JY325" s="52"/>
      <c r="JZ325" s="52"/>
      <c r="KA325" s="52"/>
      <c r="KB325" s="52"/>
      <c r="KC325" s="52"/>
      <c r="KD325" s="52"/>
      <c r="KE325" s="52"/>
      <c r="KF325" s="52"/>
      <c r="KG325" s="52"/>
      <c r="KH325" s="52"/>
      <c r="KI325" s="52"/>
      <c r="KJ325" s="52"/>
      <c r="KK325" s="52"/>
      <c r="KL325" s="52"/>
      <c r="KM325" s="52"/>
      <c r="KN325" s="52"/>
      <c r="KO325" s="52"/>
      <c r="KP325" s="52"/>
      <c r="KQ325" s="52"/>
      <c r="KR325" s="52"/>
      <c r="KS325" s="52"/>
      <c r="KT325" s="52"/>
      <c r="KU325" s="52"/>
      <c r="KV325" s="52"/>
      <c r="KW325" s="52"/>
      <c r="KX325" s="52"/>
      <c r="KY325" s="52"/>
      <c r="KZ325" s="52"/>
      <c r="LA325" s="52"/>
      <c r="LB325" s="52"/>
      <c r="LC325" s="52"/>
      <c r="LD325" s="52"/>
      <c r="LE325" s="52"/>
      <c r="LF325" s="52"/>
      <c r="LG325" s="52"/>
      <c r="LH325" s="52"/>
      <c r="LI325" s="52"/>
      <c r="LJ325" s="52"/>
      <c r="LK325" s="52"/>
      <c r="LL325" s="52"/>
      <c r="LM325" s="52"/>
      <c r="LN325" s="52"/>
      <c r="LO325" s="52"/>
      <c r="LP325" s="52"/>
      <c r="LQ325" s="52"/>
      <c r="LR325" s="52"/>
      <c r="LS325" s="52"/>
      <c r="LT325" s="52"/>
      <c r="LU325" s="52"/>
      <c r="LV325" s="52"/>
      <c r="LW325" s="52"/>
      <c r="LX325" s="52"/>
      <c r="LY325" s="52"/>
      <c r="LZ325" s="52"/>
      <c r="MA325" s="52"/>
      <c r="MB325" s="52"/>
      <c r="MC325" s="52"/>
      <c r="MD325" s="52"/>
      <c r="ME325" s="52"/>
      <c r="MF325" s="52"/>
      <c r="MG325" s="52"/>
      <c r="MH325" s="52"/>
      <c r="MI325" s="52"/>
      <c r="MJ325" s="52"/>
      <c r="MK325" s="52"/>
      <c r="ML325" s="52"/>
      <c r="MM325" s="52"/>
      <c r="MN325" s="52"/>
      <c r="MO325" s="52"/>
      <c r="MP325" s="52"/>
      <c r="MQ325" s="52"/>
      <c r="MR325" s="52"/>
      <c r="MS325" s="52"/>
      <c r="MT325" s="52"/>
      <c r="MU325" s="52"/>
      <c r="MV325" s="52"/>
      <c r="MW325" s="52"/>
      <c r="MX325" s="52"/>
      <c r="MY325" s="52"/>
      <c r="MZ325" s="52"/>
      <c r="NA325" s="52"/>
      <c r="NB325" s="52"/>
      <c r="NC325" s="52"/>
      <c r="ND325" s="52"/>
      <c r="NE325" s="52"/>
      <c r="NF325" s="52"/>
      <c r="NG325" s="52"/>
      <c r="NH325" s="52"/>
      <c r="NI325" s="52"/>
      <c r="NJ325" s="52"/>
      <c r="NK325" s="52"/>
      <c r="NL325" s="52"/>
      <c r="NM325" s="52"/>
      <c r="NN325" s="52"/>
      <c r="NO325" s="52"/>
      <c r="NP325" s="52"/>
      <c r="NQ325" s="52"/>
      <c r="NR325" s="52"/>
      <c r="NS325" s="52"/>
      <c r="NT325" s="52"/>
      <c r="NU325" s="52"/>
      <c r="NV325" s="52"/>
      <c r="NW325" s="52"/>
      <c r="NX325" s="52"/>
      <c r="NY325" s="52"/>
      <c r="NZ325" s="52"/>
      <c r="OA325" s="52"/>
      <c r="OB325" s="52"/>
      <c r="OC325" s="52"/>
      <c r="OD325" s="52"/>
      <c r="OE325" s="52"/>
      <c r="OF325" s="52"/>
      <c r="OG325" s="52"/>
      <c r="OH325" s="52"/>
      <c r="OI325" s="52"/>
      <c r="OJ325" s="52"/>
      <c r="OK325" s="52"/>
      <c r="OL325" s="52"/>
      <c r="OM325" s="52"/>
      <c r="ON325" s="52"/>
      <c r="OO325" s="52"/>
      <c r="OP325" s="52"/>
      <c r="OQ325" s="52"/>
      <c r="OR325" s="52"/>
      <c r="OS325" s="52"/>
      <c r="OT325" s="52"/>
      <c r="OU325" s="52"/>
      <c r="OV325" s="52"/>
      <c r="OW325" s="52"/>
      <c r="OX325" s="52"/>
      <c r="OY325" s="52"/>
      <c r="OZ325" s="52"/>
      <c r="PA325" s="52"/>
      <c r="PB325" s="52"/>
      <c r="PC325" s="52"/>
      <c r="PD325" s="52"/>
      <c r="PE325" s="52"/>
      <c r="PF325" s="52"/>
      <c r="PG325" s="52"/>
      <c r="PH325" s="52"/>
      <c r="PI325" s="52"/>
      <c r="PJ325" s="52"/>
      <c r="PK325" s="52"/>
      <c r="PL325" s="52"/>
      <c r="PM325" s="52"/>
      <c r="PN325" s="52"/>
      <c r="PO325" s="52"/>
      <c r="PP325" s="52"/>
      <c r="PQ325" s="52"/>
      <c r="PR325" s="52"/>
      <c r="PS325" s="52"/>
      <c r="PT325" s="52"/>
      <c r="PU325" s="52"/>
      <c r="PV325" s="52"/>
      <c r="PW325" s="52"/>
      <c r="PX325" s="52"/>
      <c r="PY325" s="52"/>
      <c r="PZ325" s="52"/>
      <c r="QA325" s="52"/>
      <c r="QB325" s="52"/>
      <c r="QC325" s="52"/>
      <c r="QD325" s="52"/>
      <c r="QE325" s="52"/>
      <c r="QF325" s="52"/>
      <c r="QG325" s="52"/>
      <c r="QH325" s="52"/>
      <c r="QI325" s="52"/>
      <c r="QJ325" s="52"/>
      <c r="QK325" s="52"/>
      <c r="QL325" s="52"/>
      <c r="QM325" s="52"/>
      <c r="QN325" s="52"/>
      <c r="QO325" s="52"/>
      <c r="QP325" s="52"/>
      <c r="QQ325" s="52"/>
      <c r="QR325" s="52"/>
      <c r="QS325" s="52"/>
      <c r="QT325" s="52"/>
      <c r="QU325" s="52"/>
      <c r="QV325" s="52"/>
      <c r="QW325" s="52"/>
      <c r="QX325" s="52"/>
      <c r="QY325" s="52"/>
      <c r="QZ325" s="52"/>
      <c r="RA325" s="52"/>
      <c r="RB325" s="52"/>
      <c r="RC325" s="52"/>
      <c r="RD325" s="52"/>
      <c r="RE325" s="52"/>
      <c r="RF325" s="52"/>
      <c r="RG325" s="52"/>
      <c r="RH325" s="52"/>
      <c r="RI325" s="52"/>
      <c r="RJ325" s="52"/>
      <c r="RK325" s="52"/>
      <c r="RL325" s="52"/>
      <c r="RM325" s="52"/>
      <c r="RN325" s="52"/>
      <c r="RO325" s="52"/>
      <c r="RP325" s="52"/>
      <c r="RQ325" s="52"/>
      <c r="RR325" s="52"/>
      <c r="RS325" s="52"/>
      <c r="RT325" s="52"/>
      <c r="RU325" s="52"/>
      <c r="RV325" s="52"/>
      <c r="RW325" s="52"/>
      <c r="RX325" s="52"/>
      <c r="RY325" s="52"/>
      <c r="RZ325" s="52"/>
      <c r="SA325" s="52"/>
      <c r="SB325" s="52"/>
      <c r="SC325" s="52"/>
      <c r="SD325" s="52"/>
      <c r="SE325" s="52"/>
      <c r="SF325" s="52"/>
      <c r="SG325" s="52"/>
      <c r="SH325" s="52"/>
      <c r="SI325" s="52"/>
      <c r="SJ325" s="52"/>
      <c r="SK325" s="52"/>
      <c r="SL325" s="52"/>
      <c r="SM325" s="52"/>
      <c r="SN325" s="52"/>
      <c r="SO325" s="52"/>
      <c r="SP325" s="52"/>
      <c r="SQ325" s="52"/>
      <c r="SR325" s="52"/>
      <c r="SS325" s="52"/>
      <c r="ST325" s="52"/>
      <c r="SU325" s="52"/>
      <c r="SV325" s="52"/>
      <c r="SW325" s="52"/>
      <c r="SX325" s="52"/>
      <c r="SY325" s="52"/>
      <c r="SZ325" s="52"/>
      <c r="TA325" s="52"/>
      <c r="TB325" s="52"/>
      <c r="TC325" s="52"/>
      <c r="TD325" s="52"/>
      <c r="TE325" s="52"/>
      <c r="TF325" s="52"/>
      <c r="TG325" s="52"/>
      <c r="TH325" s="52"/>
      <c r="TI325" s="52"/>
      <c r="TJ325" s="52"/>
      <c r="TK325" s="52"/>
      <c r="TL325" s="52"/>
      <c r="TM325" s="52"/>
      <c r="TN325" s="52"/>
      <c r="TO325" s="52"/>
      <c r="TP325" s="52"/>
      <c r="TQ325" s="52"/>
      <c r="TR325" s="52"/>
      <c r="TS325" s="52"/>
      <c r="TT325" s="52"/>
      <c r="TU325" s="52"/>
      <c r="TV325" s="52"/>
      <c r="TW325" s="52"/>
      <c r="TX325" s="52"/>
      <c r="TY325" s="52"/>
      <c r="TZ325" s="52"/>
      <c r="UA325" s="52"/>
      <c r="UB325" s="52"/>
      <c r="UC325" s="52"/>
      <c r="UD325" s="52"/>
      <c r="UE325" s="52"/>
      <c r="UF325" s="52"/>
      <c r="UG325" s="52"/>
      <c r="UH325" s="52"/>
      <c r="UI325" s="52"/>
      <c r="UJ325" s="52"/>
      <c r="UK325" s="52"/>
      <c r="UL325" s="52"/>
      <c r="UM325" s="52"/>
      <c r="UN325" s="52"/>
      <c r="UO325" s="52"/>
      <c r="UP325" s="52"/>
      <c r="UQ325" s="52"/>
      <c r="UR325" s="52"/>
      <c r="US325" s="52"/>
      <c r="UT325" s="52"/>
      <c r="UU325" s="52"/>
      <c r="UV325" s="52"/>
      <c r="UW325" s="52"/>
      <c r="UX325" s="52"/>
      <c r="UY325" s="52"/>
      <c r="UZ325" s="52"/>
      <c r="VA325" s="52"/>
      <c r="VB325" s="52"/>
      <c r="VC325" s="52"/>
      <c r="VD325" s="52"/>
      <c r="VE325" s="52"/>
      <c r="VF325" s="52"/>
      <c r="VG325" s="52"/>
      <c r="VH325" s="52"/>
      <c r="VI325" s="52"/>
      <c r="VJ325" s="52"/>
      <c r="VK325" s="52"/>
      <c r="VL325" s="52"/>
      <c r="VM325" s="52"/>
      <c r="VN325" s="52"/>
      <c r="VO325" s="52"/>
      <c r="VP325" s="52"/>
      <c r="VQ325" s="52"/>
      <c r="VR325" s="52"/>
      <c r="VS325" s="52"/>
      <c r="VT325" s="52"/>
      <c r="VU325" s="52"/>
      <c r="VV325" s="52"/>
      <c r="VW325" s="52"/>
      <c r="VX325" s="52"/>
      <c r="VY325" s="52"/>
      <c r="VZ325" s="52"/>
      <c r="WA325" s="52"/>
      <c r="WB325" s="52"/>
      <c r="WC325" s="52"/>
      <c r="WD325" s="52"/>
      <c r="WE325" s="52"/>
      <c r="WF325" s="52"/>
      <c r="WG325" s="52"/>
      <c r="WH325" s="52"/>
      <c r="WI325" s="52"/>
      <c r="WJ325" s="52"/>
      <c r="WK325" s="52"/>
      <c r="WL325" s="52"/>
      <c r="WM325" s="52"/>
      <c r="WN325" s="52"/>
      <c r="WO325" s="52"/>
      <c r="WP325" s="52"/>
      <c r="WQ325" s="52"/>
      <c r="WR325" s="52"/>
      <c r="WS325" s="52"/>
      <c r="WT325" s="52"/>
      <c r="WU325" s="52"/>
      <c r="WV325" s="52"/>
      <c r="WW325" s="52"/>
      <c r="WX325" s="52"/>
      <c r="WY325" s="52"/>
      <c r="WZ325" s="52"/>
      <c r="XA325" s="52"/>
      <c r="XB325" s="52"/>
      <c r="XC325" s="52"/>
      <c r="XD325" s="52"/>
      <c r="XE325" s="52"/>
      <c r="XF325" s="52"/>
      <c r="XG325" s="52"/>
      <c r="XH325" s="52"/>
      <c r="XI325" s="52"/>
      <c r="XJ325" s="52"/>
      <c r="XK325" s="52"/>
      <c r="XL325" s="52"/>
      <c r="XM325" s="52"/>
      <c r="XN325" s="52"/>
      <c r="XO325" s="52"/>
      <c r="XP325" s="52"/>
      <c r="XQ325" s="52"/>
      <c r="XR325" s="52"/>
      <c r="XS325" s="52"/>
      <c r="XT325" s="52"/>
      <c r="XU325" s="52"/>
      <c r="XV325" s="52"/>
      <c r="XW325" s="52"/>
      <c r="XX325" s="52"/>
      <c r="XY325" s="52"/>
      <c r="XZ325" s="52"/>
      <c r="YA325" s="52"/>
      <c r="YB325" s="52"/>
      <c r="YC325" s="52"/>
      <c r="YD325" s="52"/>
      <c r="YE325" s="52"/>
      <c r="YF325" s="52"/>
      <c r="YG325" s="52"/>
      <c r="YH325" s="52"/>
      <c r="YI325" s="52"/>
      <c r="YJ325" s="52"/>
      <c r="YK325" s="52"/>
      <c r="YL325" s="52"/>
      <c r="YM325" s="52"/>
      <c r="YN325" s="52"/>
      <c r="YO325" s="52"/>
      <c r="YP325" s="52"/>
      <c r="YQ325" s="52"/>
      <c r="YR325" s="52"/>
      <c r="YS325" s="52"/>
      <c r="YT325" s="52"/>
      <c r="YU325" s="52"/>
      <c r="YV325" s="52"/>
      <c r="YW325" s="52"/>
      <c r="YX325" s="52"/>
      <c r="YY325" s="52"/>
      <c r="YZ325" s="52"/>
      <c r="ZA325" s="52"/>
      <c r="ZB325" s="52"/>
      <c r="ZC325" s="52"/>
      <c r="ZD325" s="52"/>
      <c r="ZE325" s="52"/>
      <c r="ZF325" s="52"/>
      <c r="ZG325" s="52"/>
      <c r="ZH325" s="52"/>
      <c r="ZI325" s="52"/>
      <c r="ZJ325" s="52"/>
      <c r="ZK325" s="52"/>
      <c r="ZL325" s="52"/>
      <c r="ZM325" s="52"/>
      <c r="ZN325" s="52"/>
      <c r="ZO325" s="52"/>
      <c r="ZP325" s="52"/>
      <c r="ZQ325" s="52"/>
      <c r="ZR325" s="52"/>
      <c r="ZS325" s="52"/>
      <c r="ZT325" s="52"/>
      <c r="ZU325" s="52"/>
      <c r="ZV325" s="52"/>
      <c r="ZW325" s="52"/>
      <c r="ZX325" s="52"/>
      <c r="ZY325" s="622"/>
      <c r="ZZ325" s="625"/>
      <c r="AAA325" s="590"/>
      <c r="AAD325" s="113"/>
      <c r="AAE325" s="553">
        <f>IF(S.InvolveHearing=TRUE,1,0)</f>
        <v>1</v>
      </c>
      <c r="AAF325" s="585" t="s">
        <v>199</v>
      </c>
      <c r="AAG325" s="76"/>
      <c r="AAH325" s="76"/>
      <c r="AAI325" s="77"/>
      <c r="AAJ325" s="77"/>
      <c r="AAK325" s="77"/>
      <c r="AAL325" s="57"/>
      <c r="AAM325" s="113"/>
      <c r="AAN325"/>
      <c r="AAT325" s="23"/>
      <c r="AAU325" s="44"/>
    </row>
    <row r="326" spans="1:723" ht="15" outlineLevel="1">
      <c r="A326" s="560"/>
      <c r="B326" s="409" t="s">
        <v>113</v>
      </c>
      <c r="C326" s="169"/>
      <c r="D326" s="186"/>
      <c r="E326" s="187"/>
      <c r="F326" s="187"/>
      <c r="G326" s="186"/>
      <c r="H326" s="186"/>
      <c r="I326" s="590"/>
      <c r="J326" s="598"/>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2"/>
      <c r="ZZ326" s="625"/>
      <c r="AAA326" s="590"/>
      <c r="AAD326" s="113"/>
      <c r="AAE326" s="553">
        <f t="shared" ref="AAE326:AAE337" si="947">IF(S.InvolveNotice=TRUE,1,0)</f>
        <v>1</v>
      </c>
      <c r="AAF326" s="585" t="s">
        <v>199</v>
      </c>
      <c r="AAG326" s="76"/>
      <c r="AAH326" s="76"/>
      <c r="AAI326" s="77"/>
      <c r="AAJ326" s="77"/>
      <c r="AAK326" s="77"/>
      <c r="AAL326" s="57"/>
      <c r="AAM326" s="113"/>
      <c r="AAN326"/>
      <c r="AAT326" s="23"/>
      <c r="AAU326" s="44"/>
    </row>
    <row r="327" spans="1:723" ht="15" outlineLevel="1">
      <c r="A327" s="560"/>
      <c r="B327" s="409" t="s">
        <v>112</v>
      </c>
      <c r="C327" s="169"/>
      <c r="D327" s="162"/>
      <c r="E327" s="161"/>
      <c r="F327" s="161"/>
      <c r="G327" s="162"/>
      <c r="H327" s="162"/>
      <c r="I327" s="590"/>
      <c r="J327" s="594"/>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0"/>
      <c r="DN327" s="50"/>
      <c r="DO327" s="50"/>
      <c r="DP327" s="50"/>
      <c r="DQ327" s="50"/>
      <c r="DR327" s="50"/>
      <c r="DS327" s="50"/>
      <c r="DT327" s="50"/>
      <c r="DU327" s="50"/>
      <c r="DV327" s="50"/>
      <c r="DW327" s="50"/>
      <c r="DX327" s="50"/>
      <c r="DY327" s="50"/>
      <c r="DZ327" s="50"/>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c r="EW327" s="50"/>
      <c r="EX327" s="50"/>
      <c r="EY327" s="50"/>
      <c r="EZ327" s="50"/>
      <c r="FA327" s="50"/>
      <c r="FB327" s="50"/>
      <c r="FC327" s="50"/>
      <c r="FD327" s="50"/>
      <c r="FE327" s="50"/>
      <c r="FF327" s="50"/>
      <c r="FG327" s="50"/>
      <c r="FH327" s="50"/>
      <c r="FI327" s="50"/>
      <c r="FJ327" s="50"/>
      <c r="FK327" s="50"/>
      <c r="FL327" s="50"/>
      <c r="FM327" s="50"/>
      <c r="FN327" s="50"/>
      <c r="FO327" s="50"/>
      <c r="FP327" s="50"/>
      <c r="FQ327" s="50"/>
      <c r="FR327" s="50"/>
      <c r="FS327" s="50"/>
      <c r="FT327" s="50"/>
      <c r="FU327" s="50"/>
      <c r="FV327" s="50"/>
      <c r="FW327" s="50"/>
      <c r="FX327" s="50"/>
      <c r="FY327" s="50"/>
      <c r="FZ327" s="50"/>
      <c r="GA327" s="50"/>
      <c r="GB327" s="50"/>
      <c r="GC327" s="50"/>
      <c r="GD327" s="50"/>
      <c r="GE327" s="50"/>
      <c r="GF327" s="50"/>
      <c r="GG327" s="50"/>
      <c r="GH327" s="50"/>
      <c r="GI327" s="50"/>
      <c r="GJ327" s="50"/>
      <c r="GK327" s="50"/>
      <c r="GL327" s="50"/>
      <c r="GM327" s="50"/>
      <c r="GN327" s="50"/>
      <c r="GO327" s="50"/>
      <c r="GP327" s="50"/>
      <c r="GQ327" s="50"/>
      <c r="GR327" s="50"/>
      <c r="GS327" s="50"/>
      <c r="GT327" s="50"/>
      <c r="GU327" s="50"/>
      <c r="GV327" s="50"/>
      <c r="GW327" s="50"/>
      <c r="GX327" s="50"/>
      <c r="GY327" s="50"/>
      <c r="GZ327" s="50"/>
      <c r="HA327" s="50"/>
      <c r="HB327" s="50"/>
      <c r="HC327" s="50"/>
      <c r="HD327" s="50"/>
      <c r="HE327" s="50"/>
      <c r="HF327" s="50"/>
      <c r="HG327" s="50"/>
      <c r="HH327" s="50"/>
      <c r="HI327" s="50"/>
      <c r="HJ327" s="50"/>
      <c r="HK327" s="50"/>
      <c r="HL327" s="50"/>
      <c r="HM327" s="50"/>
      <c r="HN327" s="50"/>
      <c r="HO327" s="50"/>
      <c r="HP327" s="50"/>
      <c r="HQ327" s="50"/>
      <c r="HR327" s="50"/>
      <c r="HS327" s="50"/>
      <c r="HT327" s="50"/>
      <c r="HU327" s="50"/>
      <c r="HV327" s="50"/>
      <c r="HW327" s="50"/>
      <c r="HX327" s="50"/>
      <c r="HY327" s="50"/>
      <c r="HZ327" s="50"/>
      <c r="IA327" s="50"/>
      <c r="IB327" s="50"/>
      <c r="IC327" s="50"/>
      <c r="ID327" s="50"/>
      <c r="IE327" s="50"/>
      <c r="IF327" s="50"/>
      <c r="IG327" s="50"/>
      <c r="IH327" s="50"/>
      <c r="II327" s="50"/>
      <c r="IJ327" s="50"/>
      <c r="IK327" s="50"/>
      <c r="IL327" s="50"/>
      <c r="IM327" s="50"/>
      <c r="IN327" s="50"/>
      <c r="IO327" s="50"/>
      <c r="IP327" s="50"/>
      <c r="IQ327" s="50"/>
      <c r="IR327" s="50"/>
      <c r="IS327" s="50"/>
      <c r="IT327" s="50"/>
      <c r="IU327" s="50"/>
      <c r="IV327" s="50"/>
      <c r="IW327" s="50"/>
      <c r="IX327" s="50"/>
      <c r="IY327" s="50"/>
      <c r="IZ327" s="50"/>
      <c r="JA327" s="50"/>
      <c r="JB327" s="50"/>
      <c r="JC327" s="50"/>
      <c r="JD327" s="50"/>
      <c r="JE327" s="50"/>
      <c r="JF327" s="50"/>
      <c r="JG327" s="50"/>
      <c r="JH327" s="50"/>
      <c r="JI327" s="50"/>
      <c r="JJ327" s="50"/>
      <c r="JK327" s="50"/>
      <c r="JL327" s="50"/>
      <c r="JM327" s="50"/>
      <c r="JN327" s="50"/>
      <c r="JO327" s="50"/>
      <c r="JP327" s="50"/>
      <c r="JQ327" s="50"/>
      <c r="JR327" s="50"/>
      <c r="JS327" s="50"/>
      <c r="JT327" s="50"/>
      <c r="JU327" s="50"/>
      <c r="JV327" s="50"/>
      <c r="JW327" s="50"/>
      <c r="JX327" s="50"/>
      <c r="JY327" s="50"/>
      <c r="JZ327" s="50"/>
      <c r="KA327" s="50"/>
      <c r="KB327" s="50"/>
      <c r="KC327" s="50"/>
      <c r="KD327" s="50"/>
      <c r="KE327" s="50"/>
      <c r="KF327" s="50"/>
      <c r="KG327" s="50"/>
      <c r="KH327" s="50"/>
      <c r="KI327" s="50"/>
      <c r="KJ327" s="50"/>
      <c r="KK327" s="50"/>
      <c r="KL327" s="50"/>
      <c r="KM327" s="50"/>
      <c r="KN327" s="50"/>
      <c r="KO327" s="50"/>
      <c r="KP327" s="50"/>
      <c r="KQ327" s="50"/>
      <c r="KR327" s="50"/>
      <c r="KS327" s="50"/>
      <c r="KT327" s="50"/>
      <c r="KU327" s="50"/>
      <c r="KV327" s="50"/>
      <c r="KW327" s="50"/>
      <c r="KX327" s="50"/>
      <c r="KY327" s="50"/>
      <c r="KZ327" s="50"/>
      <c r="LA327" s="50"/>
      <c r="LB327" s="50"/>
      <c r="LC327" s="50"/>
      <c r="LD327" s="50"/>
      <c r="LE327" s="50"/>
      <c r="LF327" s="50"/>
      <c r="LG327" s="50"/>
      <c r="LH327" s="50"/>
      <c r="LI327" s="50"/>
      <c r="LJ327" s="50"/>
      <c r="LK327" s="50"/>
      <c r="LL327" s="50"/>
      <c r="LM327" s="50"/>
      <c r="LN327" s="50"/>
      <c r="LO327" s="50"/>
      <c r="LP327" s="50"/>
      <c r="LQ327" s="50"/>
      <c r="LR327" s="50"/>
      <c r="LS327" s="50"/>
      <c r="LT327" s="50"/>
      <c r="LU327" s="50"/>
      <c r="LV327" s="50"/>
      <c r="LW327" s="50"/>
      <c r="LX327" s="50"/>
      <c r="LY327" s="50"/>
      <c r="LZ327" s="50"/>
      <c r="MA327" s="50"/>
      <c r="MB327" s="50"/>
      <c r="MC327" s="50"/>
      <c r="MD327" s="50"/>
      <c r="ME327" s="50"/>
      <c r="MF327" s="50"/>
      <c r="MG327" s="50"/>
      <c r="MH327" s="50"/>
      <c r="MI327" s="50"/>
      <c r="MJ327" s="50"/>
      <c r="MK327" s="50"/>
      <c r="ML327" s="50"/>
      <c r="MM327" s="50"/>
      <c r="MN327" s="50"/>
      <c r="MO327" s="50"/>
      <c r="MP327" s="50"/>
      <c r="MQ327" s="50"/>
      <c r="MR327" s="50"/>
      <c r="MS327" s="50"/>
      <c r="MT327" s="50"/>
      <c r="MU327" s="50"/>
      <c r="MV327" s="50"/>
      <c r="MW327" s="50"/>
      <c r="MX327" s="50"/>
      <c r="MY327" s="50"/>
      <c r="MZ327" s="50"/>
      <c r="NA327" s="50"/>
      <c r="NB327" s="50"/>
      <c r="NC327" s="50"/>
      <c r="ND327" s="50"/>
      <c r="NE327" s="50"/>
      <c r="NF327" s="50"/>
      <c r="NG327" s="50"/>
      <c r="NH327" s="50"/>
      <c r="NI327" s="50"/>
      <c r="NJ327" s="50"/>
      <c r="NK327" s="50"/>
      <c r="NL327" s="50"/>
      <c r="NM327" s="50"/>
      <c r="NN327" s="50"/>
      <c r="NO327" s="50"/>
      <c r="NP327" s="50"/>
      <c r="NQ327" s="50"/>
      <c r="NR327" s="50"/>
      <c r="NS327" s="50"/>
      <c r="NT327" s="50"/>
      <c r="NU327" s="50"/>
      <c r="NV327" s="50"/>
      <c r="NW327" s="50"/>
      <c r="NX327" s="50"/>
      <c r="NY327" s="50"/>
      <c r="NZ327" s="50"/>
      <c r="OA327" s="50"/>
      <c r="OB327" s="50"/>
      <c r="OC327" s="50"/>
      <c r="OD327" s="50"/>
      <c r="OE327" s="50"/>
      <c r="OF327" s="50"/>
      <c r="OG327" s="50"/>
      <c r="OH327" s="50"/>
      <c r="OI327" s="50"/>
      <c r="OJ327" s="50"/>
      <c r="OK327" s="50"/>
      <c r="OL327" s="50"/>
      <c r="OM327" s="50"/>
      <c r="ON327" s="50"/>
      <c r="OO327" s="50"/>
      <c r="OP327" s="50"/>
      <c r="OQ327" s="50"/>
      <c r="OR327" s="50"/>
      <c r="OS327" s="50"/>
      <c r="OT327" s="50"/>
      <c r="OU327" s="50"/>
      <c r="OV327" s="50"/>
      <c r="OW327" s="50"/>
      <c r="OX327" s="50"/>
      <c r="OY327" s="50"/>
      <c r="OZ327" s="50"/>
      <c r="PA327" s="50"/>
      <c r="PB327" s="50"/>
      <c r="PC327" s="50"/>
      <c r="PD327" s="50"/>
      <c r="PE327" s="50"/>
      <c r="PF327" s="50"/>
      <c r="PG327" s="50"/>
      <c r="PH327" s="50"/>
      <c r="PI327" s="50"/>
      <c r="PJ327" s="50"/>
      <c r="PK327" s="50"/>
      <c r="PL327" s="50"/>
      <c r="PM327" s="50"/>
      <c r="PN327" s="50"/>
      <c r="PO327" s="50"/>
      <c r="PP327" s="50"/>
      <c r="PQ327" s="50"/>
      <c r="PR327" s="50"/>
      <c r="PS327" s="50"/>
      <c r="PT327" s="50"/>
      <c r="PU327" s="50"/>
      <c r="PV327" s="50"/>
      <c r="PW327" s="50"/>
      <c r="PX327" s="50"/>
      <c r="PY327" s="50"/>
      <c r="PZ327" s="50"/>
      <c r="QA327" s="50"/>
      <c r="QB327" s="50"/>
      <c r="QC327" s="50"/>
      <c r="QD327" s="50"/>
      <c r="QE327" s="50"/>
      <c r="QF327" s="50"/>
      <c r="QG327" s="50"/>
      <c r="QH327" s="50"/>
      <c r="QI327" s="50"/>
      <c r="QJ327" s="50"/>
      <c r="QK327" s="50"/>
      <c r="QL327" s="50"/>
      <c r="QM327" s="50"/>
      <c r="QN327" s="50"/>
      <c r="QO327" s="50"/>
      <c r="QP327" s="50"/>
      <c r="QQ327" s="50"/>
      <c r="QR327" s="50"/>
      <c r="QS327" s="50"/>
      <c r="QT327" s="50"/>
      <c r="QU327" s="50"/>
      <c r="QV327" s="50"/>
      <c r="QW327" s="50"/>
      <c r="QX327" s="50"/>
      <c r="QY327" s="50"/>
      <c r="QZ327" s="50"/>
      <c r="RA327" s="50"/>
      <c r="RB327" s="50"/>
      <c r="RC327" s="50"/>
      <c r="RD327" s="50"/>
      <c r="RE327" s="50"/>
      <c r="RF327" s="50"/>
      <c r="RG327" s="50"/>
      <c r="RH327" s="50"/>
      <c r="RI327" s="50"/>
      <c r="RJ327" s="50"/>
      <c r="RK327" s="50"/>
      <c r="RL327" s="50"/>
      <c r="RM327" s="50"/>
      <c r="RN327" s="50"/>
      <c r="RO327" s="50"/>
      <c r="RP327" s="50"/>
      <c r="RQ327" s="50"/>
      <c r="RR327" s="50"/>
      <c r="RS327" s="50"/>
      <c r="RT327" s="50"/>
      <c r="RU327" s="50"/>
      <c r="RV327" s="50"/>
      <c r="RW327" s="50"/>
      <c r="RX327" s="50"/>
      <c r="RY327" s="50"/>
      <c r="RZ327" s="50"/>
      <c r="SA327" s="50"/>
      <c r="SB327" s="50"/>
      <c r="SC327" s="50"/>
      <c r="SD327" s="50"/>
      <c r="SE327" s="50"/>
      <c r="SF327" s="50"/>
      <c r="SG327" s="50"/>
      <c r="SH327" s="50"/>
      <c r="SI327" s="50"/>
      <c r="SJ327" s="50"/>
      <c r="SK327" s="50"/>
      <c r="SL327" s="50"/>
      <c r="SM327" s="50"/>
      <c r="SN327" s="50"/>
      <c r="SO327" s="50"/>
      <c r="SP327" s="50"/>
      <c r="SQ327" s="50"/>
      <c r="SR327" s="50"/>
      <c r="SS327" s="50"/>
      <c r="ST327" s="50"/>
      <c r="SU327" s="50"/>
      <c r="SV327" s="50"/>
      <c r="SW327" s="50"/>
      <c r="SX327" s="50"/>
      <c r="SY327" s="50"/>
      <c r="SZ327" s="50"/>
      <c r="TA327" s="50"/>
      <c r="TB327" s="50"/>
      <c r="TC327" s="50"/>
      <c r="TD327" s="50"/>
      <c r="TE327" s="50"/>
      <c r="TF327" s="50"/>
      <c r="TG327" s="50"/>
      <c r="TH327" s="50"/>
      <c r="TI327" s="50"/>
      <c r="TJ327" s="50"/>
      <c r="TK327" s="50"/>
      <c r="TL327" s="50"/>
      <c r="TM327" s="50"/>
      <c r="TN327" s="50"/>
      <c r="TO327" s="50"/>
      <c r="TP327" s="50"/>
      <c r="TQ327" s="50"/>
      <c r="TR327" s="50"/>
      <c r="TS327" s="50"/>
      <c r="TT327" s="50"/>
      <c r="TU327" s="50"/>
      <c r="TV327" s="50"/>
      <c r="TW327" s="50"/>
      <c r="TX327" s="50"/>
      <c r="TY327" s="50"/>
      <c r="TZ327" s="50"/>
      <c r="UA327" s="50"/>
      <c r="UB327" s="50"/>
      <c r="UC327" s="50"/>
      <c r="UD327" s="50"/>
      <c r="UE327" s="50"/>
      <c r="UF327" s="50"/>
      <c r="UG327" s="50"/>
      <c r="UH327" s="50"/>
      <c r="UI327" s="50"/>
      <c r="UJ327" s="50"/>
      <c r="UK327" s="50"/>
      <c r="UL327" s="50"/>
      <c r="UM327" s="50"/>
      <c r="UN327" s="50"/>
      <c r="UO327" s="50"/>
      <c r="UP327" s="50"/>
      <c r="UQ327" s="50"/>
      <c r="UR327" s="50"/>
      <c r="US327" s="50"/>
      <c r="UT327" s="50"/>
      <c r="UU327" s="50"/>
      <c r="UV327" s="50"/>
      <c r="UW327" s="50"/>
      <c r="UX327" s="50"/>
      <c r="UY327" s="50"/>
      <c r="UZ327" s="50"/>
      <c r="VA327" s="50"/>
      <c r="VB327" s="50"/>
      <c r="VC327" s="50"/>
      <c r="VD327" s="50"/>
      <c r="VE327" s="50"/>
      <c r="VF327" s="50"/>
      <c r="VG327" s="50"/>
      <c r="VH327" s="50"/>
      <c r="VI327" s="50"/>
      <c r="VJ327" s="50"/>
      <c r="VK327" s="50"/>
      <c r="VL327" s="50"/>
      <c r="VM327" s="50"/>
      <c r="VN327" s="50"/>
      <c r="VO327" s="50"/>
      <c r="VP327" s="50"/>
      <c r="VQ327" s="50"/>
      <c r="VR327" s="50"/>
      <c r="VS327" s="50"/>
      <c r="VT327" s="50"/>
      <c r="VU327" s="50"/>
      <c r="VV327" s="50"/>
      <c r="VW327" s="50"/>
      <c r="VX327" s="50"/>
      <c r="VY327" s="50"/>
      <c r="VZ327" s="50"/>
      <c r="WA327" s="50"/>
      <c r="WB327" s="50"/>
      <c r="WC327" s="50"/>
      <c r="WD327" s="50"/>
      <c r="WE327" s="50"/>
      <c r="WF327" s="50"/>
      <c r="WG327" s="50"/>
      <c r="WH327" s="50"/>
      <c r="WI327" s="50"/>
      <c r="WJ327" s="50"/>
      <c r="WK327" s="50"/>
      <c r="WL327" s="50"/>
      <c r="WM327" s="50"/>
      <c r="WN327" s="50"/>
      <c r="WO327" s="50"/>
      <c r="WP327" s="50"/>
      <c r="WQ327" s="50"/>
      <c r="WR327" s="50"/>
      <c r="WS327" s="50"/>
      <c r="WT327" s="50"/>
      <c r="WU327" s="50"/>
      <c r="WV327" s="50"/>
      <c r="WW327" s="50"/>
      <c r="WX327" s="50"/>
      <c r="WY327" s="50"/>
      <c r="WZ327" s="50"/>
      <c r="XA327" s="50"/>
      <c r="XB327" s="50"/>
      <c r="XC327" s="50"/>
      <c r="XD327" s="50"/>
      <c r="XE327" s="50"/>
      <c r="XF327" s="50"/>
      <c r="XG327" s="50"/>
      <c r="XH327" s="50"/>
      <c r="XI327" s="50"/>
      <c r="XJ327" s="50"/>
      <c r="XK327" s="50"/>
      <c r="XL327" s="50"/>
      <c r="XM327" s="50"/>
      <c r="XN327" s="50"/>
      <c r="XO327" s="50"/>
      <c r="XP327" s="50"/>
      <c r="XQ327" s="50"/>
      <c r="XR327" s="50"/>
      <c r="XS327" s="50"/>
      <c r="XT327" s="50"/>
      <c r="XU327" s="50"/>
      <c r="XV327" s="50"/>
      <c r="XW327" s="50"/>
      <c r="XX327" s="50"/>
      <c r="XY327" s="50"/>
      <c r="XZ327" s="50"/>
      <c r="YA327" s="50"/>
      <c r="YB327" s="50"/>
      <c r="YC327" s="50"/>
      <c r="YD327" s="50"/>
      <c r="YE327" s="50"/>
      <c r="YF327" s="50"/>
      <c r="YG327" s="50"/>
      <c r="YH327" s="50"/>
      <c r="YI327" s="50"/>
      <c r="YJ327" s="50"/>
      <c r="YK327" s="50"/>
      <c r="YL327" s="50"/>
      <c r="YM327" s="50"/>
      <c r="YN327" s="50"/>
      <c r="YO327" s="50"/>
      <c r="YP327" s="50"/>
      <c r="YQ327" s="50"/>
      <c r="YR327" s="50"/>
      <c r="YS327" s="50"/>
      <c r="YT327" s="50"/>
      <c r="YU327" s="50"/>
      <c r="YV327" s="50"/>
      <c r="YW327" s="50"/>
      <c r="YX327" s="50"/>
      <c r="YY327" s="50"/>
      <c r="YZ327" s="50"/>
      <c r="ZA327" s="50"/>
      <c r="ZB327" s="50"/>
      <c r="ZC327" s="50"/>
      <c r="ZD327" s="50"/>
      <c r="ZE327" s="50"/>
      <c r="ZF327" s="50"/>
      <c r="ZG327" s="50"/>
      <c r="ZH327" s="50"/>
      <c r="ZI327" s="50"/>
      <c r="ZJ327" s="50"/>
      <c r="ZK327" s="50"/>
      <c r="ZL327" s="50"/>
      <c r="ZM327" s="50"/>
      <c r="ZN327" s="50"/>
      <c r="ZO327" s="50"/>
      <c r="ZP327" s="50"/>
      <c r="ZQ327" s="50"/>
      <c r="ZR327" s="50"/>
      <c r="ZS327" s="50"/>
      <c r="ZT327" s="50"/>
      <c r="ZU327" s="50"/>
      <c r="ZV327" s="50"/>
      <c r="ZW327" s="50"/>
      <c r="ZX327" s="50"/>
      <c r="ZY327" s="620"/>
      <c r="ZZ327" s="36"/>
      <c r="AAA327" s="590"/>
      <c r="AAD327" s="113"/>
      <c r="AAE327" s="553">
        <f t="shared" si="947"/>
        <v>1</v>
      </c>
      <c r="AAF327" s="585" t="s">
        <v>199</v>
      </c>
      <c r="AAG327" s="76"/>
      <c r="AAH327" s="76"/>
      <c r="AAI327" s="77"/>
      <c r="AAJ327" s="77"/>
      <c r="AAK327" s="77"/>
      <c r="AAL327" s="57"/>
      <c r="AAM327" s="113"/>
      <c r="AAN327"/>
      <c r="AAT327" s="23"/>
      <c r="AAU327" s="44"/>
    </row>
    <row r="328" spans="1:723" ht="15" outlineLevel="1">
      <c r="A328" s="560"/>
      <c r="B328" s="410" t="str">
        <f>AAL328</f>
        <v>GOV.DELIVERY.CONTENT"</v>
      </c>
      <c r="C328" s="169"/>
      <c r="D328" s="162"/>
      <c r="E328" s="161"/>
      <c r="F328" s="161"/>
      <c r="G328" s="162"/>
      <c r="H328" s="162"/>
      <c r="I328" s="590"/>
      <c r="J328" s="594"/>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20"/>
      <c r="ZZ328" s="36"/>
      <c r="AAA328" s="590"/>
      <c r="AAD328" s="113"/>
      <c r="AAE328" s="553">
        <f t="shared" si="947"/>
        <v>1</v>
      </c>
      <c r="AAF328" s="585" t="s">
        <v>199</v>
      </c>
      <c r="AAG328" s="76"/>
      <c r="AAH328" s="76"/>
      <c r="AAI328" s="77"/>
      <c r="AAJ328" s="77"/>
      <c r="AAK328" s="77"/>
      <c r="AAL328" s="89" t="s">
        <v>345</v>
      </c>
      <c r="AAM328" s="113"/>
      <c r="AAN328"/>
      <c r="AAT328" s="23"/>
      <c r="AAU328" s="44"/>
    </row>
    <row r="329" spans="1:723" ht="15" outlineLevel="1">
      <c r="A329" s="560"/>
      <c r="B329" s="410" t="str">
        <f>AAL329</f>
        <v>Save AGENCY.MAILING.LIST</v>
      </c>
      <c r="C329" s="169"/>
      <c r="D329" s="162"/>
      <c r="E329" s="161"/>
      <c r="F329" s="161"/>
      <c r="G329" s="162"/>
      <c r="H329" s="162"/>
      <c r="I329" s="590"/>
      <c r="J329" s="594"/>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20"/>
      <c r="ZZ329" s="36"/>
      <c r="AAA329" s="590"/>
      <c r="AAD329" s="113"/>
      <c r="AAE329" s="553">
        <f t="shared" si="947"/>
        <v>1</v>
      </c>
      <c r="AAF329" s="585" t="s">
        <v>199</v>
      </c>
      <c r="AAG329" s="76"/>
      <c r="AAH329" s="76"/>
      <c r="AAI329" s="77"/>
      <c r="AAJ329" s="77"/>
      <c r="AAK329" s="77"/>
      <c r="AAL329" s="89" t="str">
        <f>"Save "&amp;S.CodeName&amp;"AGENCY.MAILING.LIST"</f>
        <v>Save AGENCY.MAILING.LIST</v>
      </c>
      <c r="AAM329" s="113"/>
      <c r="AAN329"/>
      <c r="AAT329" s="23"/>
      <c r="AAU329" s="44"/>
    </row>
    <row r="330" spans="1:723" ht="15" outlineLevel="1">
      <c r="A330" s="560"/>
      <c r="B330" s="329" t="str">
        <f>AAL330</f>
        <v>Save PROOF.OF.DELIVERY</v>
      </c>
      <c r="C330" s="169"/>
      <c r="D330" s="162"/>
      <c r="E330" s="161"/>
      <c r="F330" s="161"/>
      <c r="G330" s="162"/>
      <c r="H330" s="162"/>
      <c r="I330" s="590"/>
      <c r="J330" s="594"/>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20"/>
      <c r="ZZ330" s="36"/>
      <c r="AAA330" s="590"/>
      <c r="AAD330" s="113"/>
      <c r="AAE330" s="553">
        <f t="shared" si="947"/>
        <v>1</v>
      </c>
      <c r="AAF330" s="585" t="s">
        <v>199</v>
      </c>
      <c r="AAG330" s="76"/>
      <c r="AAH330" s="76"/>
      <c r="AAI330" s="77"/>
      <c r="AAJ330" s="77"/>
      <c r="AAK330" s="77"/>
      <c r="AAL330" s="89" t="str">
        <f>"Save "&amp;S.CodeName&amp;"PROOF.OF.DELIVERY"</f>
        <v>Save PROOF.OF.DELIVERY</v>
      </c>
      <c r="AAM330" s="113"/>
      <c r="AAN330"/>
      <c r="AAT330" s="23"/>
      <c r="AAU330" s="44"/>
    </row>
    <row r="331" spans="1:723" ht="15" outlineLevel="1">
      <c r="A331" s="560"/>
      <c r="B331" s="408" t="s">
        <v>186</v>
      </c>
      <c r="C331" s="169"/>
      <c r="D331" s="278" t="s">
        <v>183</v>
      </c>
      <c r="E331" s="449">
        <f t="shared" ref="E331" si="948">NETWORKDAYS(G331,H331,S.DDL_DEQClosed)</f>
        <v>1</v>
      </c>
      <c r="F331" s="494">
        <f t="shared" ref="F331" ca="1" si="949">NETWORKDAYS(TODAY(),H331)</f>
        <v>64</v>
      </c>
      <c r="G331" s="473">
        <f t="shared" ref="G331:H331" si="950">AAG331</f>
        <v>41470</v>
      </c>
      <c r="H331" s="370">
        <f t="shared" si="950"/>
        <v>41470</v>
      </c>
      <c r="I331" s="629"/>
      <c r="J331" s="594"/>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50"/>
      <c r="ZZ331" s="50"/>
      <c r="AAA331" s="590"/>
      <c r="AAD331" s="113"/>
      <c r="AAE331" s="553">
        <f t="shared" si="947"/>
        <v>1</v>
      </c>
      <c r="AAF331" s="113"/>
      <c r="AAG331" s="78">
        <f t="shared" si="946"/>
        <v>41470</v>
      </c>
      <c r="AAH331" s="78">
        <f>G331</f>
        <v>41470</v>
      </c>
      <c r="AAI331" s="77"/>
      <c r="AAJ331" s="77"/>
      <c r="AAK331" s="77"/>
      <c r="AAL331" s="57"/>
      <c r="AAM331" s="113"/>
      <c r="AAN331"/>
      <c r="AAT331" s="23"/>
      <c r="AAU331" s="44"/>
    </row>
    <row r="332" spans="1:723" ht="15" outlineLevel="1">
      <c r="A332" s="560"/>
      <c r="B332" s="411" t="str">
        <f>AAL332</f>
        <v>Send KEY.LEG.NOTICE</v>
      </c>
      <c r="C332" s="723"/>
      <c r="D332" s="162"/>
      <c r="E332" s="161"/>
      <c r="F332" s="161"/>
      <c r="G332" s="162"/>
      <c r="H332" s="162"/>
      <c r="I332" s="590"/>
      <c r="J332" s="594"/>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620"/>
      <c r="ZZ332" s="36"/>
      <c r="AAA332" s="590"/>
      <c r="AAD332" s="113"/>
      <c r="AAE332" s="553">
        <f t="shared" si="947"/>
        <v>1</v>
      </c>
      <c r="AAF332" s="585" t="s">
        <v>199</v>
      </c>
      <c r="AAG332" s="76"/>
      <c r="AAH332" s="76"/>
      <c r="AAI332" s="77"/>
      <c r="AAJ332" s="77"/>
      <c r="AAK332" s="77"/>
      <c r="AAL332" s="89" t="str">
        <f>"Send "&amp;S.CodeName&amp;"KEY.LEG.NOTICE"</f>
        <v>Send KEY.LEG.NOTICE</v>
      </c>
      <c r="AAM332" s="113"/>
      <c r="AAN332"/>
      <c r="AAT332" s="23"/>
      <c r="AAU332" s="44"/>
    </row>
    <row r="333" spans="1:723" ht="15" outlineLevel="1">
      <c r="A333" s="560"/>
      <c r="B333" s="329" t="str">
        <f>AAL333</f>
        <v>Save KEY.LEG.PROOF</v>
      </c>
      <c r="C333" s="169"/>
      <c r="D333" s="162"/>
      <c r="E333" s="161"/>
      <c r="F333" s="161"/>
      <c r="G333" s="162"/>
      <c r="H333" s="162"/>
      <c r="I333" s="590"/>
      <c r="J333" s="594"/>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20"/>
      <c r="ZZ333" s="36"/>
      <c r="AAA333" s="590"/>
      <c r="AAD333" s="113"/>
      <c r="AAE333" s="553">
        <f t="shared" si="947"/>
        <v>1</v>
      </c>
      <c r="AAF333" s="585" t="s">
        <v>199</v>
      </c>
      <c r="AAG333" s="76"/>
      <c r="AAH333" s="76"/>
      <c r="AAI333" s="77"/>
      <c r="AAJ333" s="77"/>
      <c r="AAK333" s="77"/>
      <c r="AAL333" s="89" t="str">
        <f>"Save "&amp;S.CodeName&amp;"KEY.LEG.PROOF"</f>
        <v>Save KEY.LEG.PROOF</v>
      </c>
      <c r="AAM333" s="113"/>
      <c r="AAN333"/>
      <c r="AAT333" s="23"/>
      <c r="AAU333" s="44"/>
    </row>
    <row r="334" spans="1:723" ht="15" outlineLevel="1">
      <c r="A334" s="560"/>
      <c r="B334" s="363" t="s">
        <v>202</v>
      </c>
      <c r="C334" s="169"/>
      <c r="D334" s="162"/>
      <c r="E334" s="161"/>
      <c r="F334" s="161"/>
      <c r="G334" s="162"/>
      <c r="H334" s="162"/>
      <c r="I334" s="590"/>
      <c r="J334" s="594"/>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20"/>
      <c r="ZZ334" s="36"/>
      <c r="AAA334" s="590"/>
      <c r="AAD334" s="113"/>
      <c r="AAE334" s="553">
        <f t="shared" si="947"/>
        <v>1</v>
      </c>
      <c r="AAF334" s="585" t="s">
        <v>199</v>
      </c>
      <c r="AAG334" s="76"/>
      <c r="AAH334" s="76"/>
      <c r="AAI334" s="77"/>
      <c r="AAJ334" s="77"/>
      <c r="AAK334" s="77"/>
      <c r="AAL334" s="57"/>
      <c r="AAM334" s="113"/>
      <c r="AAN334"/>
      <c r="AAT334" s="23"/>
      <c r="AAU334" s="44"/>
    </row>
    <row r="335" spans="1:723" ht="15" outlineLevel="1">
      <c r="A335" s="560"/>
      <c r="B335" s="329" t="str">
        <f>AAL335</f>
        <v>Save ##PRINT.PROOF</v>
      </c>
      <c r="C335" s="169"/>
      <c r="D335" s="162"/>
      <c r="E335" s="161"/>
      <c r="F335" s="161"/>
      <c r="G335" s="162"/>
      <c r="H335" s="162"/>
      <c r="I335" s="590"/>
      <c r="J335" s="594"/>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20"/>
      <c r="ZZ335" s="36"/>
      <c r="AAA335" s="590"/>
      <c r="AAD335" s="113"/>
      <c r="AAE335" s="553">
        <f t="shared" si="947"/>
        <v>1</v>
      </c>
      <c r="AAF335" s="585" t="s">
        <v>199</v>
      </c>
      <c r="AAG335" s="76"/>
      <c r="AAH335" s="76"/>
      <c r="AAI335" s="77"/>
      <c r="AAJ335" s="77"/>
      <c r="AAK335" s="77"/>
      <c r="AAL335" s="89" t="str">
        <f>"Save "&amp;S.CodeName&amp;"##PRINT.PROOF"</f>
        <v>Save ##PRINT.PROOF</v>
      </c>
      <c r="AAM335" s="113"/>
      <c r="AAN335"/>
      <c r="AAT335" s="23"/>
      <c r="AAU335" s="44"/>
    </row>
    <row r="336" spans="1:723" ht="15.75" customHeight="1" outlineLevel="1">
      <c r="A336" s="560"/>
      <c r="B336" s="409" t="s">
        <v>47</v>
      </c>
      <c r="C336" s="169"/>
      <c r="D336" s="162"/>
      <c r="E336" s="161"/>
      <c r="F336" s="161"/>
      <c r="G336" s="162"/>
      <c r="H336" s="162"/>
      <c r="I336" s="590"/>
      <c r="J336" s="594"/>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20"/>
      <c r="ZZ336" s="36"/>
      <c r="AAA336" s="590"/>
      <c r="AAD336" s="113"/>
      <c r="AAE336" s="553">
        <f t="shared" si="947"/>
        <v>1</v>
      </c>
      <c r="AAF336" s="585" t="s">
        <v>199</v>
      </c>
      <c r="AAG336" s="76"/>
      <c r="AAH336" s="76"/>
      <c r="AAI336" s="77"/>
      <c r="AAJ336" s="77"/>
      <c r="AAK336" s="77"/>
      <c r="AAL336" s="57"/>
      <c r="AAM336" s="113"/>
      <c r="AAN336"/>
      <c r="AAT336" s="23"/>
      <c r="AAU336" s="44"/>
    </row>
    <row r="337" spans="1:732" ht="15" outlineLevel="1">
      <c r="A337" s="560"/>
      <c r="B337" s="287" t="str">
        <f>AAL337</f>
        <v>Save BULLETIN.PROOF</v>
      </c>
      <c r="C337" s="169"/>
      <c r="D337" s="162"/>
      <c r="E337" s="161"/>
      <c r="F337" s="161"/>
      <c r="G337" s="162"/>
      <c r="H337" s="162"/>
      <c r="I337" s="590"/>
      <c r="J337" s="594"/>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20"/>
      <c r="ZZ337" s="36"/>
      <c r="AAA337" s="590"/>
      <c r="AAD337" s="113"/>
      <c r="AAE337" s="553">
        <f t="shared" si="947"/>
        <v>1</v>
      </c>
      <c r="AAF337" s="585" t="s">
        <v>199</v>
      </c>
      <c r="AAG337" s="76"/>
      <c r="AAH337" s="76"/>
      <c r="AAI337" s="77"/>
      <c r="AAJ337" s="77"/>
      <c r="AAK337" s="77"/>
      <c r="AAL337" s="89" t="str">
        <f>"Save "&amp;S.CodeName&amp;"BULLETIN.PROOF"</f>
        <v>Save BULLETIN.PROOF</v>
      </c>
      <c r="AAM337" s="113"/>
      <c r="AAN337"/>
      <c r="AAT337" s="23"/>
      <c r="AAU337" s="44"/>
    </row>
    <row r="338" spans="1:732" ht="6" customHeight="1">
      <c r="A338" s="560"/>
      <c r="B338" s="289"/>
      <c r="C338" s="290"/>
      <c r="D338" s="291"/>
      <c r="E338" s="292" t="s">
        <v>0</v>
      </c>
      <c r="F338" s="292" t="s">
        <v>0</v>
      </c>
      <c r="G338" s="293"/>
      <c r="H338" s="293"/>
      <c r="I338" s="590"/>
      <c r="J338" s="594"/>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20"/>
      <c r="ZZ338" s="36"/>
      <c r="AAA338" s="590"/>
      <c r="AAD338" s="113"/>
      <c r="AAE338" s="553" t="s">
        <v>28</v>
      </c>
      <c r="AAF338" s="585" t="s">
        <v>199</v>
      </c>
      <c r="AAG338" s="63"/>
      <c r="AAH338" s="63"/>
      <c r="AAI338" s="77"/>
      <c r="AAJ338" s="77"/>
      <c r="AAK338" s="77"/>
      <c r="AAL338" s="57"/>
      <c r="AAM338" s="113"/>
      <c r="AAN338"/>
      <c r="AAT338" s="23"/>
      <c r="AAU338" s="44"/>
    </row>
    <row r="339" spans="1:732" s="23" customFormat="1" ht="18" customHeight="1">
      <c r="A339" s="560"/>
      <c r="B339" s="750" t="str">
        <f>AAL339</f>
        <v>5-Public Comment and Testimony</v>
      </c>
      <c r="C339" s="750"/>
      <c r="D339" s="750"/>
      <c r="E339" s="750"/>
      <c r="F339" s="750"/>
      <c r="G339" s="750"/>
      <c r="H339" s="750"/>
      <c r="I339" s="629"/>
      <c r="J339" s="595"/>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c r="JI339" s="48"/>
      <c r="JJ339" s="48"/>
      <c r="JK339" s="48"/>
      <c r="JL339" s="48"/>
      <c r="JM339" s="48"/>
      <c r="JN339" s="48"/>
      <c r="JO339" s="48"/>
      <c r="JP339" s="48"/>
      <c r="JQ339" s="48"/>
      <c r="JR339" s="48"/>
      <c r="JS339" s="48"/>
      <c r="JT339" s="48"/>
      <c r="JU339" s="48"/>
      <c r="JV339" s="48"/>
      <c r="JW339" s="48"/>
      <c r="JX339" s="48"/>
      <c r="JY339" s="48"/>
      <c r="JZ339" s="48"/>
      <c r="KA339" s="48"/>
      <c r="KB339" s="48"/>
      <c r="KC339" s="48"/>
      <c r="KD339" s="48"/>
      <c r="KE339" s="48"/>
      <c r="KF339" s="48"/>
      <c r="KG339" s="48"/>
      <c r="KH339" s="48"/>
      <c r="KI339" s="48"/>
      <c r="KJ339" s="48"/>
      <c r="KK339" s="48"/>
      <c r="KL339" s="48"/>
      <c r="KM339" s="48"/>
      <c r="KN339" s="48"/>
      <c r="KO339" s="48"/>
      <c r="KP339" s="48"/>
      <c r="KQ339" s="48"/>
      <c r="KR339" s="48"/>
      <c r="KS339" s="48"/>
      <c r="KT339" s="48"/>
      <c r="KU339" s="48"/>
      <c r="KV339" s="48"/>
      <c r="KW339" s="48"/>
      <c r="KX339" s="48"/>
      <c r="KY339" s="48"/>
      <c r="KZ339" s="48"/>
      <c r="LA339" s="48"/>
      <c r="LB339" s="48"/>
      <c r="LC339" s="48"/>
      <c r="LD339" s="48"/>
      <c r="LE339" s="48"/>
      <c r="LF339" s="48"/>
      <c r="LG339" s="48"/>
      <c r="LH339" s="48"/>
      <c r="LI339" s="48"/>
      <c r="LJ339" s="48"/>
      <c r="LK339" s="48"/>
      <c r="LL339" s="48"/>
      <c r="LM339" s="48"/>
      <c r="LN339" s="48"/>
      <c r="LO339" s="48"/>
      <c r="LP339" s="48"/>
      <c r="LQ339" s="48"/>
      <c r="LR339" s="48"/>
      <c r="LS339" s="48"/>
      <c r="LT339" s="48"/>
      <c r="LU339" s="48"/>
      <c r="LV339" s="48"/>
      <c r="LW339" s="48"/>
      <c r="LX339" s="48"/>
      <c r="LY339" s="48"/>
      <c r="LZ339" s="48"/>
      <c r="MA339" s="48"/>
      <c r="MB339" s="48"/>
      <c r="MC339" s="48"/>
      <c r="MD339" s="48"/>
      <c r="ME339" s="48"/>
      <c r="MF339" s="48"/>
      <c r="MG339" s="48"/>
      <c r="MH339" s="48"/>
      <c r="MI339" s="48"/>
      <c r="MJ339" s="48"/>
      <c r="MK339" s="48"/>
      <c r="ML339" s="48"/>
      <c r="MM339" s="48"/>
      <c r="MN339" s="48"/>
      <c r="MO339" s="48"/>
      <c r="MP339" s="48"/>
      <c r="MQ339" s="48"/>
      <c r="MR339" s="48"/>
      <c r="MS339" s="48"/>
      <c r="MT339" s="48"/>
      <c r="MU339" s="48"/>
      <c r="MV339" s="48"/>
      <c r="MW339" s="48"/>
      <c r="MX339" s="48"/>
      <c r="MY339" s="48"/>
      <c r="MZ339" s="48"/>
      <c r="NA339" s="48"/>
      <c r="NB339" s="48"/>
      <c r="NC339" s="48"/>
      <c r="ND339" s="48"/>
      <c r="NE339" s="48"/>
      <c r="NF339" s="48"/>
      <c r="NG339" s="48"/>
      <c r="NH339" s="48"/>
      <c r="NI339" s="48"/>
      <c r="NJ339" s="48"/>
      <c r="NK339" s="48"/>
      <c r="NL339" s="48"/>
      <c r="NM339" s="48"/>
      <c r="NN339" s="48"/>
      <c r="NO339" s="48"/>
      <c r="NP339" s="48"/>
      <c r="NQ339" s="48"/>
      <c r="NR339" s="48"/>
      <c r="NS339" s="48"/>
      <c r="NT339" s="48"/>
      <c r="NU339" s="48"/>
      <c r="NV339" s="48"/>
      <c r="NW339" s="48"/>
      <c r="NX339" s="48"/>
      <c r="NY339" s="48"/>
      <c r="NZ339" s="48"/>
      <c r="OA339" s="48"/>
      <c r="OB339" s="48"/>
      <c r="OC339" s="48"/>
      <c r="OD339" s="48"/>
      <c r="OE339" s="48"/>
      <c r="OF339" s="48"/>
      <c r="OG339" s="48"/>
      <c r="OH339" s="48"/>
      <c r="OI339" s="48"/>
      <c r="OJ339" s="48"/>
      <c r="OK339" s="48"/>
      <c r="OL339" s="48"/>
      <c r="OM339" s="48"/>
      <c r="ON339" s="48"/>
      <c r="OO339" s="48"/>
      <c r="OP339" s="48"/>
      <c r="OQ339" s="48"/>
      <c r="OR339" s="48"/>
      <c r="OS339" s="48"/>
      <c r="OT339" s="48"/>
      <c r="OU339" s="48"/>
      <c r="OV339" s="48"/>
      <c r="OW339" s="48"/>
      <c r="OX339" s="48"/>
      <c r="OY339" s="48"/>
      <c r="OZ339" s="48"/>
      <c r="PA339" s="48"/>
      <c r="PB339" s="48"/>
      <c r="PC339" s="48"/>
      <c r="PD339" s="48"/>
      <c r="PE339" s="48"/>
      <c r="PF339" s="48"/>
      <c r="PG339" s="48"/>
      <c r="PH339" s="48"/>
      <c r="PI339" s="48"/>
      <c r="PJ339" s="48"/>
      <c r="PK339" s="48"/>
      <c r="PL339" s="48"/>
      <c r="PM339" s="48"/>
      <c r="PN339" s="48"/>
      <c r="PO339" s="48"/>
      <c r="PP339" s="48"/>
      <c r="PQ339" s="48"/>
      <c r="PR339" s="48"/>
      <c r="PS339" s="48"/>
      <c r="PT339" s="48"/>
      <c r="PU339" s="48"/>
      <c r="PV339" s="48"/>
      <c r="PW339" s="48"/>
      <c r="PX339" s="48"/>
      <c r="PY339" s="48"/>
      <c r="PZ339" s="48"/>
      <c r="QA339" s="48"/>
      <c r="QB339" s="48"/>
      <c r="QC339" s="48"/>
      <c r="QD339" s="48"/>
      <c r="QE339" s="48"/>
      <c r="QF339" s="48"/>
      <c r="QG339" s="48"/>
      <c r="QH339" s="48"/>
      <c r="QI339" s="48"/>
      <c r="QJ339" s="48"/>
      <c r="QK339" s="48"/>
      <c r="QL339" s="48"/>
      <c r="QM339" s="48"/>
      <c r="QN339" s="48"/>
      <c r="QO339" s="48"/>
      <c r="QP339" s="48"/>
      <c r="QQ339" s="48"/>
      <c r="QR339" s="48"/>
      <c r="QS339" s="48"/>
      <c r="QT339" s="48"/>
      <c r="QU339" s="48"/>
      <c r="QV339" s="48"/>
      <c r="QW339" s="48"/>
      <c r="QX339" s="48"/>
      <c r="QY339" s="48"/>
      <c r="QZ339" s="48"/>
      <c r="RA339" s="48"/>
      <c r="RB339" s="48"/>
      <c r="RC339" s="48"/>
      <c r="RD339" s="48"/>
      <c r="RE339" s="48"/>
      <c r="RF339" s="48"/>
      <c r="RG339" s="48"/>
      <c r="RH339" s="48"/>
      <c r="RI339" s="48"/>
      <c r="RJ339" s="48"/>
      <c r="RK339" s="48"/>
      <c r="RL339" s="48"/>
      <c r="RM339" s="48"/>
      <c r="RN339" s="48"/>
      <c r="RO339" s="48"/>
      <c r="RP339" s="48"/>
      <c r="RQ339" s="48"/>
      <c r="RR339" s="48"/>
      <c r="RS339" s="48"/>
      <c r="RT339" s="48"/>
      <c r="RU339" s="48"/>
      <c r="RV339" s="48"/>
      <c r="RW339" s="48"/>
      <c r="RX339" s="48"/>
      <c r="RY339" s="48"/>
      <c r="RZ339" s="48"/>
      <c r="SA339" s="48"/>
      <c r="SB339" s="48"/>
      <c r="SC339" s="48"/>
      <c r="SD339" s="48"/>
      <c r="SE339" s="48"/>
      <c r="SF339" s="48"/>
      <c r="SG339" s="48"/>
      <c r="SH339" s="48"/>
      <c r="SI339" s="48"/>
      <c r="SJ339" s="48"/>
      <c r="SK339" s="48"/>
      <c r="SL339" s="48"/>
      <c r="SM339" s="48"/>
      <c r="SN339" s="48"/>
      <c r="SO339" s="48"/>
      <c r="SP339" s="48"/>
      <c r="SQ339" s="48"/>
      <c r="SR339" s="48"/>
      <c r="SS339" s="48"/>
      <c r="ST339" s="48"/>
      <c r="SU339" s="48"/>
      <c r="SV339" s="48"/>
      <c r="SW339" s="48"/>
      <c r="SX339" s="48"/>
      <c r="SY339" s="48"/>
      <c r="SZ339" s="48"/>
      <c r="TA339" s="48"/>
      <c r="TB339" s="48"/>
      <c r="TC339" s="48"/>
      <c r="TD339" s="48"/>
      <c r="TE339" s="48"/>
      <c r="TF339" s="48"/>
      <c r="TG339" s="48"/>
      <c r="TH339" s="48"/>
      <c r="TI339" s="48"/>
      <c r="TJ339" s="48"/>
      <c r="TK339" s="48"/>
      <c r="TL339" s="48"/>
      <c r="TM339" s="48"/>
      <c r="TN339" s="48"/>
      <c r="TO339" s="48"/>
      <c r="TP339" s="48"/>
      <c r="TQ339" s="48"/>
      <c r="TR339" s="48"/>
      <c r="TS339" s="48"/>
      <c r="TT339" s="48"/>
      <c r="TU339" s="48"/>
      <c r="TV339" s="48"/>
      <c r="TW339" s="48"/>
      <c r="TX339" s="48"/>
      <c r="TY339" s="48"/>
      <c r="TZ339" s="48"/>
      <c r="UA339" s="48"/>
      <c r="UB339" s="48"/>
      <c r="UC339" s="48"/>
      <c r="UD339" s="48"/>
      <c r="UE339" s="48"/>
      <c r="UF339" s="48"/>
      <c r="UG339" s="48"/>
      <c r="UH339" s="48"/>
      <c r="UI339" s="48"/>
      <c r="UJ339" s="48"/>
      <c r="UK339" s="48"/>
      <c r="UL339" s="48"/>
      <c r="UM339" s="48"/>
      <c r="UN339" s="48"/>
      <c r="UO339" s="48"/>
      <c r="UP339" s="48"/>
      <c r="UQ339" s="48"/>
      <c r="UR339" s="48"/>
      <c r="US339" s="48"/>
      <c r="UT339" s="48"/>
      <c r="UU339" s="48"/>
      <c r="UV339" s="48"/>
      <c r="UW339" s="48"/>
      <c r="UX339" s="48"/>
      <c r="UY339" s="48"/>
      <c r="UZ339" s="48"/>
      <c r="VA339" s="48"/>
      <c r="VB339" s="48"/>
      <c r="VC339" s="48"/>
      <c r="VD339" s="48"/>
      <c r="VE339" s="48"/>
      <c r="VF339" s="48"/>
      <c r="VG339" s="48"/>
      <c r="VH339" s="48"/>
      <c r="VI339" s="48"/>
      <c r="VJ339" s="48"/>
      <c r="VK339" s="48"/>
      <c r="VL339" s="48"/>
      <c r="VM339" s="48"/>
      <c r="VN339" s="48"/>
      <c r="VO339" s="48"/>
      <c r="VP339" s="48"/>
      <c r="VQ339" s="48"/>
      <c r="VR339" s="48"/>
      <c r="VS339" s="48"/>
      <c r="VT339" s="48"/>
      <c r="VU339" s="48"/>
      <c r="VV339" s="48"/>
      <c r="VW339" s="48"/>
      <c r="VX339" s="48"/>
      <c r="VY339" s="48"/>
      <c r="VZ339" s="48"/>
      <c r="WA339" s="48"/>
      <c r="WB339" s="48"/>
      <c r="WC339" s="48"/>
      <c r="WD339" s="48"/>
      <c r="WE339" s="48"/>
      <c r="WF339" s="48"/>
      <c r="WG339" s="48"/>
      <c r="WH339" s="48"/>
      <c r="WI339" s="48"/>
      <c r="WJ339" s="48"/>
      <c r="WK339" s="48"/>
      <c r="WL339" s="48"/>
      <c r="WM339" s="48"/>
      <c r="WN339" s="48"/>
      <c r="WO339" s="48"/>
      <c r="WP339" s="48"/>
      <c r="WQ339" s="48"/>
      <c r="WR339" s="48"/>
      <c r="WS339" s="48"/>
      <c r="WT339" s="48"/>
      <c r="WU339" s="48"/>
      <c r="WV339" s="48"/>
      <c r="WW339" s="48"/>
      <c r="WX339" s="48"/>
      <c r="WY339" s="48"/>
      <c r="WZ339" s="48"/>
      <c r="XA339" s="48"/>
      <c r="XB339" s="48"/>
      <c r="XC339" s="48"/>
      <c r="XD339" s="48"/>
      <c r="XE339" s="48"/>
      <c r="XF339" s="48"/>
      <c r="XG339" s="48"/>
      <c r="XH339" s="48"/>
      <c r="XI339" s="48"/>
      <c r="XJ339" s="48"/>
      <c r="XK339" s="48"/>
      <c r="XL339" s="48"/>
      <c r="XM339" s="48"/>
      <c r="XN339" s="48"/>
      <c r="XO339" s="48"/>
      <c r="XP339" s="48"/>
      <c r="XQ339" s="48"/>
      <c r="XR339" s="48"/>
      <c r="XS339" s="48"/>
      <c r="XT339" s="48"/>
      <c r="XU339" s="48"/>
      <c r="XV339" s="48"/>
      <c r="XW339" s="48"/>
      <c r="XX339" s="48"/>
      <c r="XY339" s="48"/>
      <c r="XZ339" s="48"/>
      <c r="YA339" s="48"/>
      <c r="YB339" s="48"/>
      <c r="YC339" s="48"/>
      <c r="YD339" s="48"/>
      <c r="YE339" s="48"/>
      <c r="YF339" s="48"/>
      <c r="YG339" s="48"/>
      <c r="YH339" s="48"/>
      <c r="YI339" s="48"/>
      <c r="YJ339" s="48"/>
      <c r="YK339" s="48"/>
      <c r="YL339" s="48"/>
      <c r="YM339" s="48"/>
      <c r="YN339" s="48"/>
      <c r="YO339" s="48"/>
      <c r="YP339" s="48"/>
      <c r="YQ339" s="48"/>
      <c r="YR339" s="48"/>
      <c r="YS339" s="48"/>
      <c r="YT339" s="48"/>
      <c r="YU339" s="48"/>
      <c r="YV339" s="48"/>
      <c r="YW339" s="48"/>
      <c r="YX339" s="48"/>
      <c r="YY339" s="48"/>
      <c r="YZ339" s="48"/>
      <c r="ZA339" s="48"/>
      <c r="ZB339" s="48"/>
      <c r="ZC339" s="48"/>
      <c r="ZD339" s="48"/>
      <c r="ZE339" s="48"/>
      <c r="ZF339" s="48"/>
      <c r="ZG339" s="48"/>
      <c r="ZH339" s="48"/>
      <c r="ZI339" s="48"/>
      <c r="ZJ339" s="48"/>
      <c r="ZK339" s="48"/>
      <c r="ZL339" s="48"/>
      <c r="ZM339" s="48"/>
      <c r="ZN339" s="48"/>
      <c r="ZO339" s="48"/>
      <c r="ZP339" s="48"/>
      <c r="ZQ339" s="48"/>
      <c r="ZR339" s="48"/>
      <c r="ZS339" s="48"/>
      <c r="ZT339" s="48"/>
      <c r="ZU339" s="48"/>
      <c r="ZV339" s="48"/>
      <c r="ZW339" s="48"/>
      <c r="ZX339" s="48"/>
      <c r="ZY339" s="621"/>
      <c r="ZZ339" s="120"/>
      <c r="AAA339" s="590"/>
      <c r="AAB339"/>
      <c r="AAC339"/>
      <c r="AAD339" s="113"/>
      <c r="AAE339" s="553" t="s">
        <v>29</v>
      </c>
      <c r="AAF339" s="585" t="s">
        <v>199</v>
      </c>
      <c r="AAG339" s="113"/>
      <c r="AAH339" s="113"/>
      <c r="AAI339" s="77"/>
      <c r="AAJ339" s="90"/>
      <c r="AAK339" s="90"/>
      <c r="AAL339" s="89" t="str">
        <f>IF(S.InvolveNotice=TRUE,"5-Public Comment and Testimony","5-Public comment is not involved.")</f>
        <v>5-Public Comment and Testimony</v>
      </c>
      <c r="AAM339" s="113"/>
      <c r="AAU339" s="44"/>
    </row>
    <row r="340" spans="1:732" s="23" customFormat="1" ht="18" customHeight="1">
      <c r="A340" s="560"/>
      <c r="B340" s="235" t="s">
        <v>15</v>
      </c>
      <c r="C340" s="711"/>
      <c r="D340" s="151"/>
      <c r="E340" s="152" t="s">
        <v>15</v>
      </c>
      <c r="F340" s="236" t="s">
        <v>2</v>
      </c>
      <c r="G340" s="153" t="s">
        <v>90</v>
      </c>
      <c r="H340" s="153" t="s">
        <v>91</v>
      </c>
      <c r="I340" s="629"/>
      <c r="J340" s="595"/>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21"/>
      <c r="ZZ340" s="120"/>
      <c r="AAA340" s="590"/>
      <c r="AAB340"/>
      <c r="AAC340"/>
      <c r="AAD340" s="113"/>
      <c r="AAE340" s="553" t="s">
        <v>276</v>
      </c>
      <c r="AAF340" s="585" t="s">
        <v>199</v>
      </c>
      <c r="AAG340" s="113"/>
      <c r="AAH340" s="113"/>
      <c r="AAI340" s="77"/>
      <c r="AAJ340" s="90"/>
      <c r="AAK340" s="90"/>
      <c r="AAL340" s="76"/>
      <c r="AAM340" s="113"/>
      <c r="AAU340" s="44"/>
    </row>
    <row r="341" spans="1:732" ht="18" customHeight="1">
      <c r="A341" s="560"/>
      <c r="B341" s="203"/>
      <c r="C341" s="724"/>
      <c r="D341" s="203"/>
      <c r="E341" s="294" t="s">
        <v>0</v>
      </c>
      <c r="F341" s="467">
        <f>NETWORKDAYS(S.BANNER.HearingStart,S.BANNER.HearingEnd,S.DDL_DEQClosed)</f>
        <v>54</v>
      </c>
      <c r="G341" s="254">
        <f>AAG341</f>
        <v>41450</v>
      </c>
      <c r="H341" s="275">
        <f>AAH341</f>
        <v>41527</v>
      </c>
      <c r="I341" s="629"/>
      <c r="J341" s="631"/>
      <c r="K341" s="637"/>
      <c r="L341" s="637"/>
      <c r="M341" s="637"/>
      <c r="N341" s="637"/>
      <c r="O341" s="637"/>
      <c r="P341" s="637"/>
      <c r="Q341" s="637"/>
      <c r="R341" s="637"/>
      <c r="S341" s="637"/>
      <c r="T341" s="637"/>
      <c r="U341" s="637"/>
      <c r="V341" s="637"/>
      <c r="W341" s="637"/>
      <c r="X341" s="637"/>
      <c r="Y341" s="637"/>
      <c r="Z341" s="637"/>
      <c r="AA341" s="637"/>
      <c r="AB341" s="637"/>
      <c r="AC341" s="637"/>
      <c r="AD341" s="637"/>
      <c r="AE341" s="637"/>
      <c r="AF341" s="637"/>
      <c r="AG341" s="637"/>
      <c r="AH341" s="637"/>
      <c r="AI341" s="637"/>
      <c r="AJ341" s="637"/>
      <c r="AK341" s="637"/>
      <c r="AL341" s="637"/>
      <c r="AM341" s="637"/>
      <c r="AN341" s="637"/>
      <c r="AO341" s="637"/>
      <c r="AP341" s="637"/>
      <c r="AQ341" s="637"/>
      <c r="AR341" s="637"/>
      <c r="AS341" s="637"/>
      <c r="AT341" s="637"/>
      <c r="AU341" s="637"/>
      <c r="AV341" s="637"/>
      <c r="AW341" s="637"/>
      <c r="AX341" s="637"/>
      <c r="AY341" s="637"/>
      <c r="AZ341" s="637"/>
      <c r="BA341" s="637"/>
      <c r="BB341" s="637"/>
      <c r="BC341" s="637"/>
      <c r="BD341" s="637"/>
      <c r="BE341" s="637"/>
      <c r="BF341" s="637"/>
      <c r="BG341" s="637"/>
      <c r="BH341" s="637"/>
      <c r="BI341" s="637"/>
      <c r="BJ341" s="637"/>
      <c r="BK341" s="637"/>
      <c r="BL341" s="637"/>
      <c r="BM341" s="637"/>
      <c r="BN341" s="637"/>
      <c r="BO341" s="637"/>
      <c r="BP341" s="637"/>
      <c r="BQ341" s="637"/>
      <c r="BR341" s="637"/>
      <c r="BS341" s="637"/>
      <c r="BT341" s="637"/>
      <c r="BU341" s="637"/>
      <c r="BV341" s="637"/>
      <c r="BW341" s="637"/>
      <c r="BX341" s="637"/>
      <c r="BY341" s="637"/>
      <c r="BZ341" s="637"/>
      <c r="CA341" s="637"/>
      <c r="CB341" s="637"/>
      <c r="CC341" s="637"/>
      <c r="CD341" s="637"/>
      <c r="CE341" s="637"/>
      <c r="CF341" s="637"/>
      <c r="CG341" s="637"/>
      <c r="CH341" s="637"/>
      <c r="CI341" s="637"/>
      <c r="CJ341" s="637"/>
      <c r="CK341" s="637"/>
      <c r="CL341" s="637"/>
      <c r="CM341" s="637"/>
      <c r="CN341" s="637"/>
      <c r="CO341" s="637"/>
      <c r="CP341" s="637"/>
      <c r="CQ341" s="637"/>
      <c r="CR341" s="637"/>
      <c r="CS341" s="637"/>
      <c r="CT341" s="637"/>
      <c r="CU341" s="637"/>
      <c r="CV341" s="637"/>
      <c r="CW341" s="637"/>
      <c r="CX341" s="637"/>
      <c r="CY341" s="637"/>
      <c r="CZ341" s="637"/>
      <c r="DA341" s="637"/>
      <c r="DB341" s="637"/>
      <c r="DC341" s="637"/>
      <c r="DD341" s="637"/>
      <c r="DE341" s="637"/>
      <c r="DF341" s="637"/>
      <c r="DG341" s="637"/>
      <c r="DH341" s="637"/>
      <c r="DI341" s="637"/>
      <c r="DJ341" s="637"/>
      <c r="DK341" s="637"/>
      <c r="DL341" s="637"/>
      <c r="DM341" s="637"/>
      <c r="DN341" s="637"/>
      <c r="DO341" s="637"/>
      <c r="DP341" s="637"/>
      <c r="DQ341" s="637"/>
      <c r="DR341" s="637"/>
      <c r="DS341" s="637"/>
      <c r="DT341" s="637"/>
      <c r="DU341" s="637"/>
      <c r="DV341" s="637"/>
      <c r="DW341" s="637"/>
      <c r="DX341" s="637"/>
      <c r="DY341" s="637"/>
      <c r="DZ341" s="637"/>
      <c r="EA341" s="637"/>
      <c r="EB341" s="637"/>
      <c r="EC341" s="637"/>
      <c r="ED341" s="637"/>
      <c r="EE341" s="637"/>
      <c r="EF341" s="637"/>
      <c r="EG341" s="637"/>
      <c r="EH341" s="637"/>
      <c r="EI341" s="637"/>
      <c r="EJ341" s="637"/>
      <c r="EK341" s="637"/>
      <c r="EL341" s="637"/>
      <c r="EM341" s="637"/>
      <c r="EN341" s="637"/>
      <c r="EO341" s="637"/>
      <c r="EP341" s="637"/>
      <c r="EQ341" s="637"/>
      <c r="ER341" s="637"/>
      <c r="ES341" s="637"/>
      <c r="ET341" s="637"/>
      <c r="EU341" s="637"/>
      <c r="EV341" s="637"/>
      <c r="EW341" s="637"/>
      <c r="EX341" s="637"/>
      <c r="EY341" s="637"/>
      <c r="EZ341" s="637"/>
      <c r="FA341" s="637"/>
      <c r="FB341" s="637"/>
      <c r="FC341" s="637"/>
      <c r="FD341" s="637"/>
      <c r="FE341" s="637"/>
      <c r="FF341" s="637"/>
      <c r="FG341" s="637"/>
      <c r="FH341" s="637"/>
      <c r="FI341" s="637"/>
      <c r="FJ341" s="637"/>
      <c r="FK341" s="637"/>
      <c r="FL341" s="637"/>
      <c r="FM341" s="637"/>
      <c r="FN341" s="637"/>
      <c r="FO341" s="637"/>
      <c r="FP341" s="637"/>
      <c r="FQ341" s="637"/>
      <c r="FR341" s="637"/>
      <c r="FS341" s="637"/>
      <c r="FT341" s="637"/>
      <c r="FU341" s="637"/>
      <c r="FV341" s="637"/>
      <c r="FW341" s="637"/>
      <c r="FX341" s="637"/>
      <c r="FY341" s="637"/>
      <c r="FZ341" s="637"/>
      <c r="GA341" s="637"/>
      <c r="GB341" s="637"/>
      <c r="GC341" s="637"/>
      <c r="GD341" s="637"/>
      <c r="GE341" s="637"/>
      <c r="GF341" s="637"/>
      <c r="GG341" s="637"/>
      <c r="GH341" s="637"/>
      <c r="GI341" s="637"/>
      <c r="GJ341" s="637"/>
      <c r="GK341" s="637"/>
      <c r="GL341" s="637"/>
      <c r="GM341" s="637"/>
      <c r="GN341" s="637"/>
      <c r="GO341" s="637"/>
      <c r="GP341" s="637"/>
      <c r="GQ341" s="637"/>
      <c r="GR341" s="637"/>
      <c r="GS341" s="637"/>
      <c r="GT341" s="637"/>
      <c r="GU341" s="637"/>
      <c r="GV341" s="637"/>
      <c r="GW341" s="637"/>
      <c r="GX341" s="637"/>
      <c r="GY341" s="637"/>
      <c r="GZ341" s="637"/>
      <c r="HA341" s="637"/>
      <c r="HB341" s="637"/>
      <c r="HC341" s="637"/>
      <c r="HD341" s="637"/>
      <c r="HE341" s="637"/>
      <c r="HF341" s="637"/>
      <c r="HG341" s="637"/>
      <c r="HH341" s="637"/>
      <c r="HI341" s="637"/>
      <c r="HJ341" s="637"/>
      <c r="HK341" s="637"/>
      <c r="HL341" s="637"/>
      <c r="HM341" s="637"/>
      <c r="HN341" s="637"/>
      <c r="HO341" s="637"/>
      <c r="HP341" s="637"/>
      <c r="HQ341" s="637"/>
      <c r="HR341" s="637"/>
      <c r="HS341" s="637"/>
      <c r="HT341" s="637"/>
      <c r="HU341" s="637"/>
      <c r="HV341" s="637"/>
      <c r="HW341" s="637"/>
      <c r="HX341" s="637"/>
      <c r="HY341" s="637"/>
      <c r="HZ341" s="637"/>
      <c r="IA341" s="637"/>
      <c r="IB341" s="637"/>
      <c r="IC341" s="637"/>
      <c r="ID341" s="637"/>
      <c r="IE341" s="637"/>
      <c r="IF341" s="637"/>
      <c r="IG341" s="637"/>
      <c r="IH341" s="637"/>
      <c r="II341" s="637"/>
      <c r="IJ341" s="637"/>
      <c r="IK341" s="637"/>
      <c r="IL341" s="637"/>
      <c r="IM341" s="637"/>
      <c r="IN341" s="637"/>
      <c r="IO341" s="637"/>
      <c r="IP341" s="637"/>
      <c r="IQ341" s="637"/>
      <c r="IR341" s="637"/>
      <c r="IS341" s="637"/>
      <c r="IT341" s="637"/>
      <c r="IU341" s="637"/>
      <c r="IV341" s="637"/>
      <c r="IW341" s="637"/>
      <c r="IX341" s="637"/>
      <c r="IY341" s="637"/>
      <c r="IZ341" s="637"/>
      <c r="JA341" s="637"/>
      <c r="JB341" s="637"/>
      <c r="JC341" s="637"/>
      <c r="JD341" s="637"/>
      <c r="JE341" s="637"/>
      <c r="JF341" s="637"/>
      <c r="JG341" s="637"/>
      <c r="JH341" s="637"/>
      <c r="JI341" s="637"/>
      <c r="JJ341" s="637"/>
      <c r="JK341" s="637"/>
      <c r="JL341" s="637"/>
      <c r="JM341" s="637"/>
      <c r="JN341" s="637"/>
      <c r="JO341" s="637"/>
      <c r="JP341" s="637"/>
      <c r="JQ341" s="637"/>
      <c r="JR341" s="637"/>
      <c r="JS341" s="637"/>
      <c r="JT341" s="637"/>
      <c r="JU341" s="637"/>
      <c r="JV341" s="637"/>
      <c r="JW341" s="637"/>
      <c r="JX341" s="637"/>
      <c r="JY341" s="637"/>
      <c r="JZ341" s="637"/>
      <c r="KA341" s="637"/>
      <c r="KB341" s="637"/>
      <c r="KC341" s="637"/>
      <c r="KD341" s="637"/>
      <c r="KE341" s="637"/>
      <c r="KF341" s="637"/>
      <c r="KG341" s="637"/>
      <c r="KH341" s="637"/>
      <c r="KI341" s="637"/>
      <c r="KJ341" s="637"/>
      <c r="KK341" s="637"/>
      <c r="KL341" s="637"/>
      <c r="KM341" s="637"/>
      <c r="KN341" s="637"/>
      <c r="KO341" s="637"/>
      <c r="KP341" s="637"/>
      <c r="KQ341" s="637"/>
      <c r="KR341" s="637"/>
      <c r="KS341" s="637"/>
      <c r="KT341" s="637"/>
      <c r="KU341" s="637"/>
      <c r="KV341" s="637"/>
      <c r="KW341" s="637"/>
      <c r="KX341" s="637"/>
      <c r="KY341" s="637"/>
      <c r="KZ341" s="637"/>
      <c r="LA341" s="637"/>
      <c r="LB341" s="637"/>
      <c r="LC341" s="637"/>
      <c r="LD341" s="637"/>
      <c r="LE341" s="637"/>
      <c r="LF341" s="637"/>
      <c r="LG341" s="637"/>
      <c r="LH341" s="637"/>
      <c r="LI341" s="637"/>
      <c r="LJ341" s="637"/>
      <c r="LK341" s="637"/>
      <c r="LL341" s="637"/>
      <c r="LM341" s="637"/>
      <c r="LN341" s="637"/>
      <c r="LO341" s="637"/>
      <c r="LP341" s="637"/>
      <c r="LQ341" s="637"/>
      <c r="LR341" s="637"/>
      <c r="LS341" s="637"/>
      <c r="LT341" s="637"/>
      <c r="LU341" s="637"/>
      <c r="LV341" s="637"/>
      <c r="LW341" s="637"/>
      <c r="LX341" s="637"/>
      <c r="LY341" s="637"/>
      <c r="LZ341" s="637"/>
      <c r="MA341" s="637"/>
      <c r="MB341" s="637"/>
      <c r="MC341" s="637"/>
      <c r="MD341" s="637"/>
      <c r="ME341" s="637"/>
      <c r="MF341" s="637"/>
      <c r="MG341" s="637"/>
      <c r="MH341" s="637"/>
      <c r="MI341" s="637"/>
      <c r="MJ341" s="637"/>
      <c r="MK341" s="637"/>
      <c r="ML341" s="637"/>
      <c r="MM341" s="637"/>
      <c r="MN341" s="637"/>
      <c r="MO341" s="637"/>
      <c r="MP341" s="637"/>
      <c r="MQ341" s="637"/>
      <c r="MR341" s="637"/>
      <c r="MS341" s="637"/>
      <c r="MT341" s="637"/>
      <c r="MU341" s="637"/>
      <c r="MV341" s="637"/>
      <c r="MW341" s="637"/>
      <c r="MX341" s="637"/>
      <c r="MY341" s="637"/>
      <c r="MZ341" s="637"/>
      <c r="NA341" s="637"/>
      <c r="NB341" s="637"/>
      <c r="NC341" s="637"/>
      <c r="ND341" s="637"/>
      <c r="NE341" s="637"/>
      <c r="NF341" s="637"/>
      <c r="NG341" s="637"/>
      <c r="NH341" s="637"/>
      <c r="NI341" s="637"/>
      <c r="NJ341" s="637"/>
      <c r="NK341" s="637"/>
      <c r="NL341" s="637"/>
      <c r="NM341" s="637"/>
      <c r="NN341" s="637"/>
      <c r="NO341" s="637"/>
      <c r="NP341" s="637"/>
      <c r="NQ341" s="637"/>
      <c r="NR341" s="637"/>
      <c r="NS341" s="637"/>
      <c r="NT341" s="637"/>
      <c r="NU341" s="637"/>
      <c r="NV341" s="637"/>
      <c r="NW341" s="637"/>
      <c r="NX341" s="637"/>
      <c r="NY341" s="637"/>
      <c r="NZ341" s="637"/>
      <c r="OA341" s="637"/>
      <c r="OB341" s="637"/>
      <c r="OC341" s="637"/>
      <c r="OD341" s="637"/>
      <c r="OE341" s="637"/>
      <c r="OF341" s="637"/>
      <c r="OG341" s="637"/>
      <c r="OH341" s="637"/>
      <c r="OI341" s="637"/>
      <c r="OJ341" s="637"/>
      <c r="OK341" s="637"/>
      <c r="OL341" s="637"/>
      <c r="OM341" s="637"/>
      <c r="ON341" s="637"/>
      <c r="OO341" s="637"/>
      <c r="OP341" s="637"/>
      <c r="OQ341" s="637"/>
      <c r="OR341" s="637"/>
      <c r="OS341" s="637"/>
      <c r="OT341" s="637"/>
      <c r="OU341" s="637"/>
      <c r="OV341" s="637"/>
      <c r="OW341" s="637"/>
      <c r="OX341" s="637"/>
      <c r="OY341" s="637"/>
      <c r="OZ341" s="637"/>
      <c r="PA341" s="637"/>
      <c r="PB341" s="637"/>
      <c r="PC341" s="637"/>
      <c r="PD341" s="637"/>
      <c r="PE341" s="637"/>
      <c r="PF341" s="637"/>
      <c r="PG341" s="637"/>
      <c r="PH341" s="637"/>
      <c r="PI341" s="637"/>
      <c r="PJ341" s="637"/>
      <c r="PK341" s="637"/>
      <c r="PL341" s="637"/>
      <c r="PM341" s="637"/>
      <c r="PN341" s="637"/>
      <c r="PO341" s="637"/>
      <c r="PP341" s="637"/>
      <c r="PQ341" s="637"/>
      <c r="PR341" s="637"/>
      <c r="PS341" s="637"/>
      <c r="PT341" s="637"/>
      <c r="PU341" s="637"/>
      <c r="PV341" s="637"/>
      <c r="PW341" s="637"/>
      <c r="PX341" s="637"/>
      <c r="PY341" s="637"/>
      <c r="PZ341" s="637"/>
      <c r="QA341" s="637"/>
      <c r="QB341" s="637"/>
      <c r="QC341" s="637"/>
      <c r="QD341" s="637"/>
      <c r="QE341" s="637"/>
      <c r="QF341" s="637"/>
      <c r="QG341" s="637"/>
      <c r="QH341" s="637"/>
      <c r="QI341" s="637"/>
      <c r="QJ341" s="637"/>
      <c r="QK341" s="637"/>
      <c r="QL341" s="637"/>
      <c r="QM341" s="637"/>
      <c r="QN341" s="637"/>
      <c r="QO341" s="637"/>
      <c r="QP341" s="637"/>
      <c r="QQ341" s="637"/>
      <c r="QR341" s="637"/>
      <c r="QS341" s="637"/>
      <c r="QT341" s="637"/>
      <c r="QU341" s="637"/>
      <c r="QV341" s="637"/>
      <c r="QW341" s="637"/>
      <c r="QX341" s="637"/>
      <c r="QY341" s="637"/>
      <c r="QZ341" s="637"/>
      <c r="RA341" s="637"/>
      <c r="RB341" s="637"/>
      <c r="RC341" s="637"/>
      <c r="RD341" s="637"/>
      <c r="RE341" s="637"/>
      <c r="RF341" s="637"/>
      <c r="RG341" s="637"/>
      <c r="RH341" s="637"/>
      <c r="RI341" s="637"/>
      <c r="RJ341" s="637"/>
      <c r="RK341" s="637"/>
      <c r="RL341" s="637"/>
      <c r="RM341" s="637"/>
      <c r="RN341" s="637"/>
      <c r="RO341" s="637"/>
      <c r="RP341" s="637"/>
      <c r="RQ341" s="637"/>
      <c r="RR341" s="637"/>
      <c r="RS341" s="637"/>
      <c r="RT341" s="637"/>
      <c r="RU341" s="637"/>
      <c r="RV341" s="637"/>
      <c r="RW341" s="637"/>
      <c r="RX341" s="637"/>
      <c r="RY341" s="637"/>
      <c r="RZ341" s="637"/>
      <c r="SA341" s="637"/>
      <c r="SB341" s="637"/>
      <c r="SC341" s="637"/>
      <c r="SD341" s="637"/>
      <c r="SE341" s="637"/>
      <c r="SF341" s="637"/>
      <c r="SG341" s="637"/>
      <c r="SH341" s="637"/>
      <c r="SI341" s="637"/>
      <c r="SJ341" s="637"/>
      <c r="SK341" s="637"/>
      <c r="SL341" s="637"/>
      <c r="SM341" s="637"/>
      <c r="SN341" s="637"/>
      <c r="SO341" s="637"/>
      <c r="SP341" s="637"/>
      <c r="SQ341" s="637"/>
      <c r="SR341" s="637"/>
      <c r="SS341" s="637"/>
      <c r="ST341" s="637"/>
      <c r="SU341" s="637"/>
      <c r="SV341" s="637"/>
      <c r="SW341" s="637"/>
      <c r="SX341" s="637"/>
      <c r="SY341" s="637"/>
      <c r="SZ341" s="637"/>
      <c r="TA341" s="637"/>
      <c r="TB341" s="637"/>
      <c r="TC341" s="637"/>
      <c r="TD341" s="637"/>
      <c r="TE341" s="637"/>
      <c r="TF341" s="637"/>
      <c r="TG341" s="637"/>
      <c r="TH341" s="637"/>
      <c r="TI341" s="637"/>
      <c r="TJ341" s="637"/>
      <c r="TK341" s="637"/>
      <c r="TL341" s="637"/>
      <c r="TM341" s="637"/>
      <c r="TN341" s="637"/>
      <c r="TO341" s="637"/>
      <c r="TP341" s="637"/>
      <c r="TQ341" s="637"/>
      <c r="TR341" s="637"/>
      <c r="TS341" s="637"/>
      <c r="TT341" s="637"/>
      <c r="TU341" s="637"/>
      <c r="TV341" s="637"/>
      <c r="TW341" s="637"/>
      <c r="TX341" s="637"/>
      <c r="TY341" s="637"/>
      <c r="TZ341" s="637"/>
      <c r="UA341" s="637"/>
      <c r="UB341" s="637"/>
      <c r="UC341" s="637"/>
      <c r="UD341" s="637"/>
      <c r="UE341" s="637"/>
      <c r="UF341" s="637"/>
      <c r="UG341" s="637"/>
      <c r="UH341" s="637"/>
      <c r="UI341" s="637"/>
      <c r="UJ341" s="637"/>
      <c r="UK341" s="637"/>
      <c r="UL341" s="637"/>
      <c r="UM341" s="637"/>
      <c r="UN341" s="637"/>
      <c r="UO341" s="637"/>
      <c r="UP341" s="637"/>
      <c r="UQ341" s="637"/>
      <c r="UR341" s="637"/>
      <c r="US341" s="637"/>
      <c r="UT341" s="637"/>
      <c r="UU341" s="637"/>
      <c r="UV341" s="637"/>
      <c r="UW341" s="637"/>
      <c r="UX341" s="637"/>
      <c r="UY341" s="637"/>
      <c r="UZ341" s="637"/>
      <c r="VA341" s="637"/>
      <c r="VB341" s="637"/>
      <c r="VC341" s="637"/>
      <c r="VD341" s="637"/>
      <c r="VE341" s="637"/>
      <c r="VF341" s="637"/>
      <c r="VG341" s="637"/>
      <c r="VH341" s="637"/>
      <c r="VI341" s="637"/>
      <c r="VJ341" s="637"/>
      <c r="VK341" s="637"/>
      <c r="VL341" s="637"/>
      <c r="VM341" s="637"/>
      <c r="VN341" s="637"/>
      <c r="VO341" s="637"/>
      <c r="VP341" s="637"/>
      <c r="VQ341" s="637"/>
      <c r="VR341" s="637"/>
      <c r="VS341" s="637"/>
      <c r="VT341" s="637"/>
      <c r="VU341" s="637"/>
      <c r="VV341" s="637"/>
      <c r="VW341" s="637"/>
      <c r="VX341" s="637"/>
      <c r="VY341" s="637"/>
      <c r="VZ341" s="637"/>
      <c r="WA341" s="637"/>
      <c r="WB341" s="637"/>
      <c r="WC341" s="637"/>
      <c r="WD341" s="637"/>
      <c r="WE341" s="637"/>
      <c r="WF341" s="637"/>
      <c r="WG341" s="637"/>
      <c r="WH341" s="637"/>
      <c r="WI341" s="637"/>
      <c r="WJ341" s="637"/>
      <c r="WK341" s="637"/>
      <c r="WL341" s="637"/>
      <c r="WM341" s="637"/>
      <c r="WN341" s="637"/>
      <c r="WO341" s="637"/>
      <c r="WP341" s="637"/>
      <c r="WQ341" s="637"/>
      <c r="WR341" s="637"/>
      <c r="WS341" s="637"/>
      <c r="WT341" s="637"/>
      <c r="WU341" s="637"/>
      <c r="WV341" s="637"/>
      <c r="WW341" s="637"/>
      <c r="WX341" s="637"/>
      <c r="WY341" s="637"/>
      <c r="WZ341" s="637"/>
      <c r="XA341" s="637"/>
      <c r="XB341" s="637"/>
      <c r="XC341" s="637"/>
      <c r="XD341" s="637"/>
      <c r="XE341" s="637"/>
      <c r="XF341" s="637"/>
      <c r="XG341" s="637"/>
      <c r="XH341" s="637"/>
      <c r="XI341" s="637"/>
      <c r="XJ341" s="637"/>
      <c r="XK341" s="637"/>
      <c r="XL341" s="637"/>
      <c r="XM341" s="637"/>
      <c r="XN341" s="637"/>
      <c r="XO341" s="637"/>
      <c r="XP341" s="637"/>
      <c r="XQ341" s="637"/>
      <c r="XR341" s="637"/>
      <c r="XS341" s="637"/>
      <c r="XT341" s="637"/>
      <c r="XU341" s="637"/>
      <c r="XV341" s="637"/>
      <c r="XW341" s="637"/>
      <c r="XX341" s="637"/>
      <c r="XY341" s="637"/>
      <c r="XZ341" s="637"/>
      <c r="YA341" s="637"/>
      <c r="YB341" s="637"/>
      <c r="YC341" s="637"/>
      <c r="YD341" s="637"/>
      <c r="YE341" s="637"/>
      <c r="YF341" s="637"/>
      <c r="YG341" s="637"/>
      <c r="YH341" s="637"/>
      <c r="YI341" s="637"/>
      <c r="YJ341" s="637"/>
      <c r="YK341" s="637"/>
      <c r="YL341" s="637"/>
      <c r="YM341" s="637"/>
      <c r="YN341" s="637"/>
      <c r="YO341" s="637"/>
      <c r="YP341" s="637"/>
      <c r="YQ341" s="637"/>
      <c r="YR341" s="637"/>
      <c r="YS341" s="637"/>
      <c r="YT341" s="637"/>
      <c r="YU341" s="637"/>
      <c r="YV341" s="637"/>
      <c r="YW341" s="637"/>
      <c r="YX341" s="637"/>
      <c r="YY341" s="637"/>
      <c r="YZ341" s="637"/>
      <c r="ZA341" s="637"/>
      <c r="ZB341" s="637"/>
      <c r="ZC341" s="637"/>
      <c r="ZD341" s="637"/>
      <c r="ZE341" s="637"/>
      <c r="ZF341" s="637"/>
      <c r="ZG341" s="637"/>
      <c r="ZH341" s="637"/>
      <c r="ZI341" s="637"/>
      <c r="ZJ341" s="637"/>
      <c r="ZK341" s="637"/>
      <c r="ZL341" s="637"/>
      <c r="ZM341" s="637"/>
      <c r="ZN341" s="637"/>
      <c r="ZO341" s="637"/>
      <c r="ZP341" s="637"/>
      <c r="ZQ341" s="637"/>
      <c r="ZR341" s="637"/>
      <c r="ZS341" s="637"/>
      <c r="ZT341" s="637"/>
      <c r="ZU341" s="637"/>
      <c r="ZV341" s="637"/>
      <c r="ZW341" s="637"/>
      <c r="ZX341" s="637"/>
      <c r="ZY341" s="640"/>
      <c r="ZZ341" s="120"/>
      <c r="AAA341" s="590"/>
      <c r="AAD341" s="113"/>
      <c r="AAE341" s="553" t="s">
        <v>276</v>
      </c>
      <c r="AAF341" s="585" t="s">
        <v>199</v>
      </c>
      <c r="AAG341" s="78">
        <f>WORKDAY(S.SubmitNoticeToSOS-19,-1,S.DDL_DEQClosed)</f>
        <v>41450</v>
      </c>
      <c r="AAH341" s="78">
        <f>S.SubmitStaffRpt</f>
        <v>41527</v>
      </c>
      <c r="AAI341" s="77"/>
      <c r="AAJ341" s="77"/>
      <c r="AAK341" s="77"/>
      <c r="AAL341" s="65"/>
      <c r="AAM341" s="113"/>
      <c r="AAN341"/>
      <c r="AAT341" s="23"/>
      <c r="AAU341" s="44"/>
    </row>
    <row r="342" spans="1:732" ht="6" customHeight="1">
      <c r="A342" s="560"/>
      <c r="B342" s="207"/>
      <c r="C342" s="696"/>
      <c r="D342" s="181"/>
      <c r="E342" s="182"/>
      <c r="F342" s="182"/>
      <c r="G342" s="181"/>
      <c r="H342" s="181"/>
      <c r="I342" s="590"/>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c r="FE342" s="32"/>
      <c r="FF342" s="32"/>
      <c r="FG342" s="32"/>
      <c r="FH342" s="32"/>
      <c r="FI342" s="32"/>
      <c r="FJ342" s="32"/>
      <c r="FK342" s="32"/>
      <c r="FL342" s="32"/>
      <c r="FM342" s="32"/>
      <c r="FN342" s="32"/>
      <c r="FO342" s="32"/>
      <c r="FP342" s="32"/>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c r="JD342" s="32"/>
      <c r="JE342" s="32"/>
      <c r="JF342" s="32"/>
      <c r="JG342" s="32"/>
      <c r="JH342" s="32"/>
      <c r="JI342" s="32"/>
      <c r="JJ342" s="32"/>
      <c r="JK342" s="32"/>
      <c r="JL342" s="32"/>
      <c r="JM342" s="32"/>
      <c r="JN342" s="32"/>
      <c r="JO342" s="32"/>
      <c r="JP342" s="32"/>
      <c r="JQ342" s="32"/>
      <c r="JR342" s="32"/>
      <c r="JS342" s="32"/>
      <c r="JT342" s="32"/>
      <c r="JU342" s="32"/>
      <c r="JV342" s="32"/>
      <c r="JW342" s="32"/>
      <c r="JX342" s="32"/>
      <c r="JY342" s="32"/>
      <c r="JZ342" s="32"/>
      <c r="KA342" s="32"/>
      <c r="KB342" s="32"/>
      <c r="KC342" s="32"/>
      <c r="KD342" s="32"/>
      <c r="KE342" s="32"/>
      <c r="KF342" s="32"/>
      <c r="KG342" s="32"/>
      <c r="KH342" s="32"/>
      <c r="KI342" s="32"/>
      <c r="KJ342" s="32"/>
      <c r="KK342" s="32"/>
      <c r="KL342" s="32"/>
      <c r="KM342" s="32"/>
      <c r="KN342" s="32"/>
      <c r="KO342" s="32"/>
      <c r="KP342" s="32"/>
      <c r="KQ342" s="32"/>
      <c r="KR342" s="32"/>
      <c r="KS342" s="32"/>
      <c r="KT342" s="32"/>
      <c r="KU342" s="32"/>
      <c r="KV342" s="32"/>
      <c r="KW342" s="32"/>
      <c r="KX342" s="32"/>
      <c r="KY342" s="32"/>
      <c r="KZ342" s="32"/>
      <c r="LA342" s="32"/>
      <c r="LB342" s="32"/>
      <c r="LC342" s="32"/>
      <c r="LD342" s="32"/>
      <c r="LE342" s="32"/>
      <c r="LF342" s="32"/>
      <c r="LG342" s="32"/>
      <c r="LH342" s="32"/>
      <c r="LI342" s="32"/>
      <c r="LJ342" s="32"/>
      <c r="LK342" s="32"/>
      <c r="LL342" s="32"/>
      <c r="LM342" s="32"/>
      <c r="LN342" s="32"/>
      <c r="LO342" s="32"/>
      <c r="LP342" s="32"/>
      <c r="LQ342" s="32"/>
      <c r="LR342" s="32"/>
      <c r="LS342" s="32"/>
      <c r="LT342" s="32"/>
      <c r="LU342" s="32"/>
      <c r="LV342" s="32"/>
      <c r="LW342" s="32"/>
      <c r="LX342" s="32"/>
      <c r="LY342" s="32"/>
      <c r="LZ342" s="32"/>
      <c r="MA342" s="32"/>
      <c r="MB342" s="32"/>
      <c r="MC342" s="32"/>
      <c r="MD342" s="32"/>
      <c r="ME342" s="32"/>
      <c r="MF342" s="32"/>
      <c r="MG342" s="32"/>
      <c r="MH342" s="32"/>
      <c r="MI342" s="32"/>
      <c r="MJ342" s="32"/>
      <c r="MK342" s="32"/>
      <c r="ML342" s="32"/>
      <c r="MM342" s="32"/>
      <c r="MN342" s="32"/>
      <c r="MO342" s="32"/>
      <c r="MP342" s="32"/>
      <c r="MQ342" s="32"/>
      <c r="MR342" s="32"/>
      <c r="MS342" s="32"/>
      <c r="MT342" s="32"/>
      <c r="MU342" s="32"/>
      <c r="MV342" s="32"/>
      <c r="MW342" s="32"/>
      <c r="MX342" s="32"/>
      <c r="MY342" s="32"/>
      <c r="MZ342" s="32"/>
      <c r="NA342" s="32"/>
      <c r="NB342" s="32"/>
      <c r="NC342" s="32"/>
      <c r="ND342" s="32"/>
      <c r="NE342" s="32"/>
      <c r="NF342" s="32"/>
      <c r="NG342" s="32"/>
      <c r="NH342" s="32"/>
      <c r="NI342" s="32"/>
      <c r="NJ342" s="32"/>
      <c r="NK342" s="32"/>
      <c r="NL342" s="32"/>
      <c r="NM342" s="32"/>
      <c r="NN342" s="32"/>
      <c r="NO342" s="32"/>
      <c r="NP342" s="32"/>
      <c r="NQ342" s="32"/>
      <c r="NR342" s="32"/>
      <c r="NS342" s="32"/>
      <c r="NT342" s="32"/>
      <c r="NU342" s="32"/>
      <c r="NV342" s="32"/>
      <c r="NW342" s="32"/>
      <c r="NX342" s="32"/>
      <c r="NY342" s="32"/>
      <c r="NZ342" s="32"/>
      <c r="OA342" s="32"/>
      <c r="OB342" s="32"/>
      <c r="OC342" s="32"/>
      <c r="OD342" s="32"/>
      <c r="OE342" s="32"/>
      <c r="OF342" s="32"/>
      <c r="OG342" s="32"/>
      <c r="OH342" s="32"/>
      <c r="OI342" s="32"/>
      <c r="OJ342" s="32"/>
      <c r="OK342" s="32"/>
      <c r="OL342" s="32"/>
      <c r="OM342" s="32"/>
      <c r="ON342" s="32"/>
      <c r="OO342" s="32"/>
      <c r="OP342" s="32"/>
      <c r="OQ342" s="32"/>
      <c r="OR342" s="32"/>
      <c r="OS342" s="32"/>
      <c r="OT342" s="32"/>
      <c r="OU342" s="32"/>
      <c r="OV342" s="32"/>
      <c r="OW342" s="32"/>
      <c r="OX342" s="32"/>
      <c r="OY342" s="32"/>
      <c r="OZ342" s="32"/>
      <c r="PA342" s="32"/>
      <c r="PB342" s="32"/>
      <c r="PC342" s="32"/>
      <c r="PD342" s="32"/>
      <c r="PE342" s="32"/>
      <c r="PF342" s="32"/>
      <c r="PG342" s="32"/>
      <c r="PH342" s="32"/>
      <c r="PI342" s="32"/>
      <c r="PJ342" s="32"/>
      <c r="PK342" s="32"/>
      <c r="PL342" s="32"/>
      <c r="PM342" s="32"/>
      <c r="PN342" s="32"/>
      <c r="PO342" s="32"/>
      <c r="PP342" s="32"/>
      <c r="PQ342" s="32"/>
      <c r="PR342" s="32"/>
      <c r="PS342" s="32"/>
      <c r="PT342" s="32"/>
      <c r="PU342" s="32"/>
      <c r="PV342" s="32"/>
      <c r="PW342" s="32"/>
      <c r="PX342" s="32"/>
      <c r="PY342" s="32"/>
      <c r="PZ342" s="32"/>
      <c r="QA342" s="32"/>
      <c r="QB342" s="32"/>
      <c r="QC342" s="32"/>
      <c r="QD342" s="32"/>
      <c r="QE342" s="32"/>
      <c r="QF342" s="32"/>
      <c r="QG342" s="32"/>
      <c r="QH342" s="32"/>
      <c r="QI342" s="32"/>
      <c r="QJ342" s="32"/>
      <c r="QK342" s="32"/>
      <c r="QL342" s="32"/>
      <c r="QM342" s="32"/>
      <c r="QN342" s="32"/>
      <c r="QO342" s="32"/>
      <c r="QP342" s="32"/>
      <c r="QQ342" s="32"/>
      <c r="QR342" s="32"/>
      <c r="QS342" s="32"/>
      <c r="QT342" s="32"/>
      <c r="QU342" s="32"/>
      <c r="QV342" s="32"/>
      <c r="QW342" s="32"/>
      <c r="QX342" s="32"/>
      <c r="QY342" s="32"/>
      <c r="QZ342" s="32"/>
      <c r="RA342" s="32"/>
      <c r="RB342" s="32"/>
      <c r="RC342" s="32"/>
      <c r="RD342" s="32"/>
      <c r="RE342" s="32"/>
      <c r="RF342" s="32"/>
      <c r="RG342" s="32"/>
      <c r="RH342" s="32"/>
      <c r="RI342" s="32"/>
      <c r="RJ342" s="32"/>
      <c r="RK342" s="32"/>
      <c r="RL342" s="32"/>
      <c r="RM342" s="32"/>
      <c r="RN342" s="32"/>
      <c r="RO342" s="32"/>
      <c r="RP342" s="32"/>
      <c r="RQ342" s="32"/>
      <c r="RR342" s="32"/>
      <c r="RS342" s="32"/>
      <c r="RT342" s="32"/>
      <c r="RU342" s="32"/>
      <c r="RV342" s="32"/>
      <c r="RW342" s="32"/>
      <c r="RX342" s="32"/>
      <c r="RY342" s="32"/>
      <c r="RZ342" s="32"/>
      <c r="SA342" s="32"/>
      <c r="SB342" s="32"/>
      <c r="SC342" s="32"/>
      <c r="SD342" s="32"/>
      <c r="SE342" s="32"/>
      <c r="SF342" s="32"/>
      <c r="SG342" s="32"/>
      <c r="SH342" s="32"/>
      <c r="SI342" s="32"/>
      <c r="SJ342" s="32"/>
      <c r="SK342" s="32"/>
      <c r="SL342" s="32"/>
      <c r="SM342" s="32"/>
      <c r="SN342" s="32"/>
      <c r="SO342" s="32"/>
      <c r="SP342" s="32"/>
      <c r="SQ342" s="32"/>
      <c r="SR342" s="32"/>
      <c r="SS342" s="32"/>
      <c r="ST342" s="32"/>
      <c r="SU342" s="32"/>
      <c r="SV342" s="32"/>
      <c r="SW342" s="32"/>
      <c r="SX342" s="32"/>
      <c r="SY342" s="32"/>
      <c r="SZ342" s="32"/>
      <c r="TA342" s="32"/>
      <c r="TB342" s="32"/>
      <c r="TC342" s="32"/>
      <c r="TD342" s="32"/>
      <c r="TE342" s="32"/>
      <c r="TF342" s="32"/>
      <c r="TG342" s="32"/>
      <c r="TH342" s="32"/>
      <c r="TI342" s="32"/>
      <c r="TJ342" s="32"/>
      <c r="TK342" s="32"/>
      <c r="TL342" s="32"/>
      <c r="TM342" s="32"/>
      <c r="TN342" s="32"/>
      <c r="TO342" s="32"/>
      <c r="TP342" s="32"/>
      <c r="TQ342" s="32"/>
      <c r="TR342" s="32"/>
      <c r="TS342" s="32"/>
      <c r="TT342" s="32"/>
      <c r="TU342" s="32"/>
      <c r="TV342" s="32"/>
      <c r="TW342" s="32"/>
      <c r="TX342" s="32"/>
      <c r="TY342" s="32"/>
      <c r="TZ342" s="32"/>
      <c r="UA342" s="32"/>
      <c r="UB342" s="32"/>
      <c r="UC342" s="32"/>
      <c r="UD342" s="32"/>
      <c r="UE342" s="32"/>
      <c r="UF342" s="32"/>
      <c r="UG342" s="32"/>
      <c r="UH342" s="32"/>
      <c r="UI342" s="32"/>
      <c r="UJ342" s="32"/>
      <c r="UK342" s="32"/>
      <c r="UL342" s="32"/>
      <c r="UM342" s="32"/>
      <c r="UN342" s="32"/>
      <c r="UO342" s="32"/>
      <c r="UP342" s="32"/>
      <c r="UQ342" s="32"/>
      <c r="UR342" s="32"/>
      <c r="US342" s="32"/>
      <c r="UT342" s="32"/>
      <c r="UU342" s="32"/>
      <c r="UV342" s="32"/>
      <c r="UW342" s="32"/>
      <c r="UX342" s="32"/>
      <c r="UY342" s="32"/>
      <c r="UZ342" s="32"/>
      <c r="VA342" s="32"/>
      <c r="VB342" s="32"/>
      <c r="VC342" s="32"/>
      <c r="VD342" s="32"/>
      <c r="VE342" s="32"/>
      <c r="VF342" s="32"/>
      <c r="VG342" s="32"/>
      <c r="VH342" s="32"/>
      <c r="VI342" s="32"/>
      <c r="VJ342" s="32"/>
      <c r="VK342" s="32"/>
      <c r="VL342" s="32"/>
      <c r="VM342" s="32"/>
      <c r="VN342" s="32"/>
      <c r="VO342" s="32"/>
      <c r="VP342" s="32"/>
      <c r="VQ342" s="32"/>
      <c r="VR342" s="32"/>
      <c r="VS342" s="32"/>
      <c r="VT342" s="32"/>
      <c r="VU342" s="32"/>
      <c r="VV342" s="32"/>
      <c r="VW342" s="32"/>
      <c r="VX342" s="32"/>
      <c r="VY342" s="32"/>
      <c r="VZ342" s="32"/>
      <c r="WA342" s="32"/>
      <c r="WB342" s="32"/>
      <c r="WC342" s="32"/>
      <c r="WD342" s="32"/>
      <c r="WE342" s="32"/>
      <c r="WF342" s="32"/>
      <c r="WG342" s="32"/>
      <c r="WH342" s="32"/>
      <c r="WI342" s="32"/>
      <c r="WJ342" s="32"/>
      <c r="WK342" s="32"/>
      <c r="WL342" s="32"/>
      <c r="WM342" s="32"/>
      <c r="WN342" s="32"/>
      <c r="WO342" s="32"/>
      <c r="WP342" s="32"/>
      <c r="WQ342" s="32"/>
      <c r="WR342" s="32"/>
      <c r="WS342" s="32"/>
      <c r="WT342" s="32"/>
      <c r="WU342" s="32"/>
      <c r="WV342" s="32"/>
      <c r="WW342" s="32"/>
      <c r="WX342" s="32"/>
      <c r="WY342" s="32"/>
      <c r="WZ342" s="32"/>
      <c r="XA342" s="32"/>
      <c r="XB342" s="32"/>
      <c r="XC342" s="32"/>
      <c r="XD342" s="32"/>
      <c r="XE342" s="32"/>
      <c r="XF342" s="32"/>
      <c r="XG342" s="32"/>
      <c r="XH342" s="32"/>
      <c r="XI342" s="32"/>
      <c r="XJ342" s="32"/>
      <c r="XK342" s="32"/>
      <c r="XL342" s="32"/>
      <c r="XM342" s="32"/>
      <c r="XN342" s="32"/>
      <c r="XO342" s="32"/>
      <c r="XP342" s="32"/>
      <c r="XQ342" s="32"/>
      <c r="XR342" s="32"/>
      <c r="XS342" s="32"/>
      <c r="XT342" s="32"/>
      <c r="XU342" s="32"/>
      <c r="XV342" s="32"/>
      <c r="XW342" s="32"/>
      <c r="XX342" s="32"/>
      <c r="XY342" s="32"/>
      <c r="XZ342" s="32"/>
      <c r="YA342" s="32"/>
      <c r="YB342" s="32"/>
      <c r="YC342" s="32"/>
      <c r="YD342" s="32"/>
      <c r="YE342" s="32"/>
      <c r="YF342" s="32"/>
      <c r="YG342" s="32"/>
      <c r="YH342" s="32"/>
      <c r="YI342" s="32"/>
      <c r="YJ342" s="32"/>
      <c r="YK342" s="32"/>
      <c r="YL342" s="32"/>
      <c r="YM342" s="32"/>
      <c r="YN342" s="32"/>
      <c r="YO342" s="32"/>
      <c r="YP342" s="32"/>
      <c r="YQ342" s="32"/>
      <c r="YR342" s="32"/>
      <c r="YS342" s="32"/>
      <c r="YT342" s="32"/>
      <c r="YU342" s="32"/>
      <c r="YV342" s="32"/>
      <c r="YW342" s="32"/>
      <c r="YX342" s="32"/>
      <c r="YY342" s="32"/>
      <c r="YZ342" s="32"/>
      <c r="ZA342" s="32"/>
      <c r="ZB342" s="32"/>
      <c r="ZC342" s="32"/>
      <c r="ZD342" s="32"/>
      <c r="ZE342" s="32"/>
      <c r="ZF342" s="32"/>
      <c r="ZG342" s="32"/>
      <c r="ZH342" s="32"/>
      <c r="ZI342" s="32"/>
      <c r="ZJ342" s="32"/>
      <c r="ZK342" s="32"/>
      <c r="ZL342" s="32"/>
      <c r="ZM342" s="32"/>
      <c r="ZN342" s="32"/>
      <c r="ZO342" s="32"/>
      <c r="ZP342" s="32"/>
      <c r="ZQ342" s="32"/>
      <c r="ZR342" s="32"/>
      <c r="ZS342" s="32"/>
      <c r="ZT342" s="32"/>
      <c r="ZU342" s="32"/>
      <c r="ZV342" s="32"/>
      <c r="ZW342" s="32"/>
      <c r="ZX342" s="32"/>
      <c r="ZY342" s="32"/>
      <c r="ZZ342" s="32"/>
      <c r="AAA342" s="590"/>
      <c r="AAD342" s="113"/>
      <c r="AAE342" s="553" t="s">
        <v>22</v>
      </c>
      <c r="AAF342" s="585" t="s">
        <v>199</v>
      </c>
      <c r="AAG342" s="63"/>
      <c r="AAH342" s="63"/>
      <c r="AAI342" s="77"/>
      <c r="AAJ342" s="77"/>
      <c r="AAK342" s="77"/>
      <c r="AAL342" s="57"/>
      <c r="AAM342" s="113"/>
      <c r="AAN342"/>
      <c r="AAT342" s="23"/>
      <c r="AAU342" s="44"/>
    </row>
    <row r="343" spans="1:732" ht="15" customHeight="1" outlineLevel="1">
      <c r="A343" s="560"/>
      <c r="B343" s="439" t="s">
        <v>240</v>
      </c>
      <c r="C343" s="169"/>
      <c r="D343" s="278" t="s">
        <v>176</v>
      </c>
      <c r="E343" s="449">
        <f>NETWORKDAYS(G343,H343,S.DDL_DEQClosed)</f>
        <v>38</v>
      </c>
      <c r="F343" s="493">
        <f ca="1">NETWORKDAYS(TODAY(),H343)</f>
        <v>88</v>
      </c>
      <c r="G343" s="450">
        <f>AAG343</f>
        <v>41450</v>
      </c>
      <c r="H343" s="450">
        <f>AAH343</f>
        <v>41502</v>
      </c>
      <c r="I343" s="629"/>
      <c r="J343" s="642"/>
      <c r="K343" s="643"/>
      <c r="L343" s="643"/>
      <c r="M343" s="643"/>
      <c r="N343" s="643"/>
      <c r="O343" s="643"/>
      <c r="P343" s="643"/>
      <c r="Q343" s="643"/>
      <c r="R343" s="643"/>
      <c r="S343" s="643"/>
      <c r="T343" s="643"/>
      <c r="U343" s="643"/>
      <c r="V343" s="643"/>
      <c r="W343" s="643"/>
      <c r="X343" s="643"/>
      <c r="Y343" s="643"/>
      <c r="Z343" s="643"/>
      <c r="AA343" s="643"/>
      <c r="AB343" s="643"/>
      <c r="AC343" s="643"/>
      <c r="AD343" s="643"/>
      <c r="AE343" s="643"/>
      <c r="AF343" s="643"/>
      <c r="AG343" s="643"/>
      <c r="AH343" s="643"/>
      <c r="AI343" s="643"/>
      <c r="AJ343" s="643"/>
      <c r="AK343" s="643"/>
      <c r="AL343" s="643"/>
      <c r="AM343" s="643"/>
      <c r="AN343" s="643"/>
      <c r="AO343" s="643"/>
      <c r="AP343" s="643"/>
      <c r="AQ343" s="643"/>
      <c r="AR343" s="643"/>
      <c r="AS343" s="643"/>
      <c r="AT343" s="643"/>
      <c r="AU343" s="643"/>
      <c r="AV343" s="643"/>
      <c r="AW343" s="643"/>
      <c r="AX343" s="643"/>
      <c r="AY343" s="643"/>
      <c r="AZ343" s="643"/>
      <c r="BA343" s="643"/>
      <c r="BB343" s="643"/>
      <c r="BC343" s="643"/>
      <c r="BD343" s="643"/>
      <c r="BE343" s="643"/>
      <c r="BF343" s="643"/>
      <c r="BG343" s="643"/>
      <c r="BH343" s="643"/>
      <c r="BI343" s="643"/>
      <c r="BJ343" s="643"/>
      <c r="BK343" s="643"/>
      <c r="BL343" s="643"/>
      <c r="BM343" s="643"/>
      <c r="BN343" s="643"/>
      <c r="BO343" s="643"/>
      <c r="BP343" s="643"/>
      <c r="BQ343" s="643"/>
      <c r="BR343" s="643"/>
      <c r="BS343" s="643"/>
      <c r="BT343" s="643"/>
      <c r="BU343" s="643"/>
      <c r="BV343" s="643"/>
      <c r="BW343" s="643"/>
      <c r="BX343" s="643"/>
      <c r="BY343" s="643"/>
      <c r="BZ343" s="643"/>
      <c r="CA343" s="643"/>
      <c r="CB343" s="643"/>
      <c r="CC343" s="643"/>
      <c r="CD343" s="643"/>
      <c r="CE343" s="643"/>
      <c r="CF343" s="643"/>
      <c r="CG343" s="643"/>
      <c r="CH343" s="643"/>
      <c r="CI343" s="643"/>
      <c r="CJ343" s="643"/>
      <c r="CK343" s="643"/>
      <c r="CL343" s="643"/>
      <c r="CM343" s="643"/>
      <c r="CN343" s="643"/>
      <c r="CO343" s="643"/>
      <c r="CP343" s="643"/>
      <c r="CQ343" s="643"/>
      <c r="CR343" s="643"/>
      <c r="CS343" s="643"/>
      <c r="CT343" s="643"/>
      <c r="CU343" s="643"/>
      <c r="CV343" s="643"/>
      <c r="CW343" s="643"/>
      <c r="CX343" s="643"/>
      <c r="CY343" s="643"/>
      <c r="CZ343" s="643"/>
      <c r="DA343" s="643"/>
      <c r="DB343" s="643"/>
      <c r="DC343" s="643"/>
      <c r="DD343" s="643"/>
      <c r="DE343" s="643"/>
      <c r="DF343" s="643"/>
      <c r="DG343" s="643"/>
      <c r="DH343" s="643"/>
      <c r="DI343" s="643"/>
      <c r="DJ343" s="643"/>
      <c r="DK343" s="643"/>
      <c r="DL343" s="643"/>
      <c r="DM343" s="643"/>
      <c r="DN343" s="643"/>
      <c r="DO343" s="643"/>
      <c r="DP343" s="643"/>
      <c r="DQ343" s="643"/>
      <c r="DR343" s="643"/>
      <c r="DS343" s="643"/>
      <c r="DT343" s="643"/>
      <c r="DU343" s="643"/>
      <c r="DV343" s="643"/>
      <c r="DW343" s="643"/>
      <c r="DX343" s="643"/>
      <c r="DY343" s="643"/>
      <c r="DZ343" s="643"/>
      <c r="EA343" s="643"/>
      <c r="EB343" s="643"/>
      <c r="EC343" s="643"/>
      <c r="ED343" s="643"/>
      <c r="EE343" s="643"/>
      <c r="EF343" s="643"/>
      <c r="EG343" s="643"/>
      <c r="EH343" s="643"/>
      <c r="EI343" s="643"/>
      <c r="EJ343" s="643"/>
      <c r="EK343" s="643"/>
      <c r="EL343" s="643"/>
      <c r="EM343" s="643"/>
      <c r="EN343" s="643"/>
      <c r="EO343" s="643"/>
      <c r="EP343" s="643"/>
      <c r="EQ343" s="643"/>
      <c r="ER343" s="643"/>
      <c r="ES343" s="643"/>
      <c r="ET343" s="643"/>
      <c r="EU343" s="643"/>
      <c r="EV343" s="643"/>
      <c r="EW343" s="643"/>
      <c r="EX343" s="643"/>
      <c r="EY343" s="643"/>
      <c r="EZ343" s="643"/>
      <c r="FA343" s="643"/>
      <c r="FB343" s="643"/>
      <c r="FC343" s="643"/>
      <c r="FD343" s="643"/>
      <c r="FE343" s="643"/>
      <c r="FF343" s="643"/>
      <c r="FG343" s="643"/>
      <c r="FH343" s="643"/>
      <c r="FI343" s="643"/>
      <c r="FJ343" s="643"/>
      <c r="FK343" s="643"/>
      <c r="FL343" s="643"/>
      <c r="FM343" s="643"/>
      <c r="FN343" s="643"/>
      <c r="FO343" s="643"/>
      <c r="FP343" s="643"/>
      <c r="FQ343" s="643"/>
      <c r="FR343" s="643"/>
      <c r="FS343" s="643"/>
      <c r="FT343" s="643"/>
      <c r="FU343" s="643"/>
      <c r="FV343" s="643"/>
      <c r="FW343" s="643"/>
      <c r="FX343" s="643"/>
      <c r="FY343" s="643"/>
      <c r="FZ343" s="643"/>
      <c r="GA343" s="643"/>
      <c r="GB343" s="643"/>
      <c r="GC343" s="643"/>
      <c r="GD343" s="643"/>
      <c r="GE343" s="643"/>
      <c r="GF343" s="643"/>
      <c r="GG343" s="643"/>
      <c r="GH343" s="643"/>
      <c r="GI343" s="643"/>
      <c r="GJ343" s="643"/>
      <c r="GK343" s="643"/>
      <c r="GL343" s="643"/>
      <c r="GM343" s="643"/>
      <c r="GN343" s="643"/>
      <c r="GO343" s="643"/>
      <c r="GP343" s="643"/>
      <c r="GQ343" s="643"/>
      <c r="GR343" s="643"/>
      <c r="GS343" s="643"/>
      <c r="GT343" s="643"/>
      <c r="GU343" s="643"/>
      <c r="GV343" s="643"/>
      <c r="GW343" s="643"/>
      <c r="GX343" s="643"/>
      <c r="GY343" s="643"/>
      <c r="GZ343" s="643"/>
      <c r="HA343" s="643"/>
      <c r="HB343" s="643"/>
      <c r="HC343" s="643"/>
      <c r="HD343" s="643"/>
      <c r="HE343" s="643"/>
      <c r="HF343" s="643"/>
      <c r="HG343" s="643"/>
      <c r="HH343" s="643"/>
      <c r="HI343" s="643"/>
      <c r="HJ343" s="643"/>
      <c r="HK343" s="643"/>
      <c r="HL343" s="643"/>
      <c r="HM343" s="643"/>
      <c r="HN343" s="643"/>
      <c r="HO343" s="643"/>
      <c r="HP343" s="643"/>
      <c r="HQ343" s="643"/>
      <c r="HR343" s="643"/>
      <c r="HS343" s="643"/>
      <c r="HT343" s="643"/>
      <c r="HU343" s="643"/>
      <c r="HV343" s="643"/>
      <c r="HW343" s="643"/>
      <c r="HX343" s="643"/>
      <c r="HY343" s="643"/>
      <c r="HZ343" s="643"/>
      <c r="IA343" s="643"/>
      <c r="IB343" s="643"/>
      <c r="IC343" s="643"/>
      <c r="ID343" s="643"/>
      <c r="IE343" s="643"/>
      <c r="IF343" s="643"/>
      <c r="IG343" s="643"/>
      <c r="IH343" s="643"/>
      <c r="II343" s="643"/>
      <c r="IJ343" s="643"/>
      <c r="IK343" s="643"/>
      <c r="IL343" s="643"/>
      <c r="IM343" s="643"/>
      <c r="IN343" s="643"/>
      <c r="IO343" s="643"/>
      <c r="IP343" s="643"/>
      <c r="IQ343" s="643"/>
      <c r="IR343" s="643"/>
      <c r="IS343" s="643"/>
      <c r="IT343" s="643"/>
      <c r="IU343" s="643"/>
      <c r="IV343" s="643"/>
      <c r="IW343" s="643"/>
      <c r="IX343" s="643"/>
      <c r="IY343" s="643"/>
      <c r="IZ343" s="643"/>
      <c r="JA343" s="643"/>
      <c r="JB343" s="643"/>
      <c r="JC343" s="643"/>
      <c r="JD343" s="643"/>
      <c r="JE343" s="643"/>
      <c r="JF343" s="643"/>
      <c r="JG343" s="643"/>
      <c r="JH343" s="643"/>
      <c r="JI343" s="643"/>
      <c r="JJ343" s="643"/>
      <c r="JK343" s="643"/>
      <c r="JL343" s="643"/>
      <c r="JM343" s="643"/>
      <c r="JN343" s="643"/>
      <c r="JO343" s="643"/>
      <c r="JP343" s="643"/>
      <c r="JQ343" s="643"/>
      <c r="JR343" s="643"/>
      <c r="JS343" s="643"/>
      <c r="JT343" s="643"/>
      <c r="JU343" s="643"/>
      <c r="JV343" s="643"/>
      <c r="JW343" s="643"/>
      <c r="JX343" s="643"/>
      <c r="JY343" s="643"/>
      <c r="JZ343" s="643"/>
      <c r="KA343" s="643"/>
      <c r="KB343" s="643"/>
      <c r="KC343" s="643"/>
      <c r="KD343" s="643"/>
      <c r="KE343" s="643"/>
      <c r="KF343" s="643"/>
      <c r="KG343" s="643"/>
      <c r="KH343" s="643"/>
      <c r="KI343" s="643"/>
      <c r="KJ343" s="643"/>
      <c r="KK343" s="643"/>
      <c r="KL343" s="643"/>
      <c r="KM343" s="643"/>
      <c r="KN343" s="643"/>
      <c r="KO343" s="643"/>
      <c r="KP343" s="643"/>
      <c r="KQ343" s="643"/>
      <c r="KR343" s="643"/>
      <c r="KS343" s="643"/>
      <c r="KT343" s="643"/>
      <c r="KU343" s="643"/>
      <c r="KV343" s="643"/>
      <c r="KW343" s="643"/>
      <c r="KX343" s="643"/>
      <c r="KY343" s="643"/>
      <c r="KZ343" s="643"/>
      <c r="LA343" s="643"/>
      <c r="LB343" s="643"/>
      <c r="LC343" s="643"/>
      <c r="LD343" s="643"/>
      <c r="LE343" s="643"/>
      <c r="LF343" s="643"/>
      <c r="LG343" s="643"/>
      <c r="LH343" s="643"/>
      <c r="LI343" s="643"/>
      <c r="LJ343" s="643"/>
      <c r="LK343" s="643"/>
      <c r="LL343" s="643"/>
      <c r="LM343" s="643"/>
      <c r="LN343" s="643"/>
      <c r="LO343" s="643"/>
      <c r="LP343" s="643"/>
      <c r="LQ343" s="643"/>
      <c r="LR343" s="643"/>
      <c r="LS343" s="643"/>
      <c r="LT343" s="643"/>
      <c r="LU343" s="643"/>
      <c r="LV343" s="643"/>
      <c r="LW343" s="643"/>
      <c r="LX343" s="643"/>
      <c r="LY343" s="643"/>
      <c r="LZ343" s="643"/>
      <c r="MA343" s="643"/>
      <c r="MB343" s="643"/>
      <c r="MC343" s="643"/>
      <c r="MD343" s="643"/>
      <c r="ME343" s="643"/>
      <c r="MF343" s="643"/>
      <c r="MG343" s="643"/>
      <c r="MH343" s="643"/>
      <c r="MI343" s="643"/>
      <c r="MJ343" s="643"/>
      <c r="MK343" s="643"/>
      <c r="ML343" s="643"/>
      <c r="MM343" s="643"/>
      <c r="MN343" s="643"/>
      <c r="MO343" s="643"/>
      <c r="MP343" s="643"/>
      <c r="MQ343" s="643"/>
      <c r="MR343" s="643"/>
      <c r="MS343" s="643"/>
      <c r="MT343" s="643"/>
      <c r="MU343" s="643"/>
      <c r="MV343" s="643"/>
      <c r="MW343" s="643"/>
      <c r="MX343" s="643"/>
      <c r="MY343" s="643"/>
      <c r="MZ343" s="643"/>
      <c r="NA343" s="643"/>
      <c r="NB343" s="643"/>
      <c r="NC343" s="643"/>
      <c r="ND343" s="643"/>
      <c r="NE343" s="643"/>
      <c r="NF343" s="643"/>
      <c r="NG343" s="643"/>
      <c r="NH343" s="643"/>
      <c r="NI343" s="643"/>
      <c r="NJ343" s="643"/>
      <c r="NK343" s="643"/>
      <c r="NL343" s="643"/>
      <c r="NM343" s="643"/>
      <c r="NN343" s="643"/>
      <c r="NO343" s="643"/>
      <c r="NP343" s="643"/>
      <c r="NQ343" s="643"/>
      <c r="NR343" s="643"/>
      <c r="NS343" s="643"/>
      <c r="NT343" s="643"/>
      <c r="NU343" s="643"/>
      <c r="NV343" s="643"/>
      <c r="NW343" s="643"/>
      <c r="NX343" s="643"/>
      <c r="NY343" s="643"/>
      <c r="NZ343" s="643"/>
      <c r="OA343" s="643"/>
      <c r="OB343" s="643"/>
      <c r="OC343" s="643"/>
      <c r="OD343" s="643"/>
      <c r="OE343" s="643"/>
      <c r="OF343" s="643"/>
      <c r="OG343" s="643"/>
      <c r="OH343" s="643"/>
      <c r="OI343" s="643"/>
      <c r="OJ343" s="643"/>
      <c r="OK343" s="643"/>
      <c r="OL343" s="643"/>
      <c r="OM343" s="643"/>
      <c r="ON343" s="643"/>
      <c r="OO343" s="643"/>
      <c r="OP343" s="643"/>
      <c r="OQ343" s="643"/>
      <c r="OR343" s="643"/>
      <c r="OS343" s="643"/>
      <c r="OT343" s="643"/>
      <c r="OU343" s="643"/>
      <c r="OV343" s="643"/>
      <c r="OW343" s="643"/>
      <c r="OX343" s="643"/>
      <c r="OY343" s="643"/>
      <c r="OZ343" s="643"/>
      <c r="PA343" s="643"/>
      <c r="PB343" s="643"/>
      <c r="PC343" s="643"/>
      <c r="PD343" s="643"/>
      <c r="PE343" s="643"/>
      <c r="PF343" s="643"/>
      <c r="PG343" s="643"/>
      <c r="PH343" s="643"/>
      <c r="PI343" s="643"/>
      <c r="PJ343" s="643"/>
      <c r="PK343" s="643"/>
      <c r="PL343" s="643"/>
      <c r="PM343" s="643"/>
      <c r="PN343" s="643"/>
      <c r="PO343" s="643"/>
      <c r="PP343" s="643"/>
      <c r="PQ343" s="643"/>
      <c r="PR343" s="643"/>
      <c r="PS343" s="643"/>
      <c r="PT343" s="643"/>
      <c r="PU343" s="643"/>
      <c r="PV343" s="643"/>
      <c r="PW343" s="643"/>
      <c r="PX343" s="643"/>
      <c r="PY343" s="643"/>
      <c r="PZ343" s="643"/>
      <c r="QA343" s="643"/>
      <c r="QB343" s="643"/>
      <c r="QC343" s="643"/>
      <c r="QD343" s="643"/>
      <c r="QE343" s="643"/>
      <c r="QF343" s="643"/>
      <c r="QG343" s="643"/>
      <c r="QH343" s="643"/>
      <c r="QI343" s="643"/>
      <c r="QJ343" s="643"/>
      <c r="QK343" s="643"/>
      <c r="QL343" s="643"/>
      <c r="QM343" s="643"/>
      <c r="QN343" s="643"/>
      <c r="QO343" s="643"/>
      <c r="QP343" s="643"/>
      <c r="QQ343" s="643"/>
      <c r="QR343" s="643"/>
      <c r="QS343" s="643"/>
      <c r="QT343" s="643"/>
      <c r="QU343" s="643"/>
      <c r="QV343" s="643"/>
      <c r="QW343" s="643"/>
      <c r="QX343" s="643"/>
      <c r="QY343" s="643"/>
      <c r="QZ343" s="643"/>
      <c r="RA343" s="643"/>
      <c r="RB343" s="643"/>
      <c r="RC343" s="643"/>
      <c r="RD343" s="643"/>
      <c r="RE343" s="643"/>
      <c r="RF343" s="643"/>
      <c r="RG343" s="643"/>
      <c r="RH343" s="643"/>
      <c r="RI343" s="643"/>
      <c r="RJ343" s="643"/>
      <c r="RK343" s="643"/>
      <c r="RL343" s="643"/>
      <c r="RM343" s="643"/>
      <c r="RN343" s="643"/>
      <c r="RO343" s="643"/>
      <c r="RP343" s="643"/>
      <c r="RQ343" s="643"/>
      <c r="RR343" s="643"/>
      <c r="RS343" s="643"/>
      <c r="RT343" s="643"/>
      <c r="RU343" s="643"/>
      <c r="RV343" s="643"/>
      <c r="RW343" s="643"/>
      <c r="RX343" s="643"/>
      <c r="RY343" s="643"/>
      <c r="RZ343" s="643"/>
      <c r="SA343" s="643"/>
      <c r="SB343" s="643"/>
      <c r="SC343" s="643"/>
      <c r="SD343" s="643"/>
      <c r="SE343" s="643"/>
      <c r="SF343" s="643"/>
      <c r="SG343" s="643"/>
      <c r="SH343" s="643"/>
      <c r="SI343" s="643"/>
      <c r="SJ343" s="643"/>
      <c r="SK343" s="643"/>
      <c r="SL343" s="643"/>
      <c r="SM343" s="643"/>
      <c r="SN343" s="643"/>
      <c r="SO343" s="643"/>
      <c r="SP343" s="643"/>
      <c r="SQ343" s="643"/>
      <c r="SR343" s="643"/>
      <c r="SS343" s="643"/>
      <c r="ST343" s="643"/>
      <c r="SU343" s="643"/>
      <c r="SV343" s="643"/>
      <c r="SW343" s="643"/>
      <c r="SX343" s="643"/>
      <c r="SY343" s="643"/>
      <c r="SZ343" s="643"/>
      <c r="TA343" s="643"/>
      <c r="TB343" s="643"/>
      <c r="TC343" s="643"/>
      <c r="TD343" s="643"/>
      <c r="TE343" s="643"/>
      <c r="TF343" s="643"/>
      <c r="TG343" s="643"/>
      <c r="TH343" s="643"/>
      <c r="TI343" s="643"/>
      <c r="TJ343" s="643"/>
      <c r="TK343" s="643"/>
      <c r="TL343" s="643"/>
      <c r="TM343" s="643"/>
      <c r="TN343" s="643"/>
      <c r="TO343" s="643"/>
      <c r="TP343" s="643"/>
      <c r="TQ343" s="643"/>
      <c r="TR343" s="643"/>
      <c r="TS343" s="643"/>
      <c r="TT343" s="643"/>
      <c r="TU343" s="643"/>
      <c r="TV343" s="643"/>
      <c r="TW343" s="643"/>
      <c r="TX343" s="643"/>
      <c r="TY343" s="643"/>
      <c r="TZ343" s="643"/>
      <c r="UA343" s="643"/>
      <c r="UB343" s="643"/>
      <c r="UC343" s="643"/>
      <c r="UD343" s="643"/>
      <c r="UE343" s="643"/>
      <c r="UF343" s="643"/>
      <c r="UG343" s="643"/>
      <c r="UH343" s="643"/>
      <c r="UI343" s="643"/>
      <c r="UJ343" s="643"/>
      <c r="UK343" s="643"/>
      <c r="UL343" s="643"/>
      <c r="UM343" s="643"/>
      <c r="UN343" s="643"/>
      <c r="UO343" s="643"/>
      <c r="UP343" s="643"/>
      <c r="UQ343" s="643"/>
      <c r="UR343" s="643"/>
      <c r="US343" s="643"/>
      <c r="UT343" s="643"/>
      <c r="UU343" s="643"/>
      <c r="UV343" s="643"/>
      <c r="UW343" s="643"/>
      <c r="UX343" s="643"/>
      <c r="UY343" s="643"/>
      <c r="UZ343" s="643"/>
      <c r="VA343" s="643"/>
      <c r="VB343" s="643"/>
      <c r="VC343" s="643"/>
      <c r="VD343" s="643"/>
      <c r="VE343" s="643"/>
      <c r="VF343" s="643"/>
      <c r="VG343" s="643"/>
      <c r="VH343" s="643"/>
      <c r="VI343" s="643"/>
      <c r="VJ343" s="643"/>
      <c r="VK343" s="643"/>
      <c r="VL343" s="643"/>
      <c r="VM343" s="643"/>
      <c r="VN343" s="643"/>
      <c r="VO343" s="643"/>
      <c r="VP343" s="643"/>
      <c r="VQ343" s="643"/>
      <c r="VR343" s="643"/>
      <c r="VS343" s="643"/>
      <c r="VT343" s="643"/>
      <c r="VU343" s="643"/>
      <c r="VV343" s="643"/>
      <c r="VW343" s="643"/>
      <c r="VX343" s="643"/>
      <c r="VY343" s="643"/>
      <c r="VZ343" s="643"/>
      <c r="WA343" s="643"/>
      <c r="WB343" s="643"/>
      <c r="WC343" s="643"/>
      <c r="WD343" s="643"/>
      <c r="WE343" s="643"/>
      <c r="WF343" s="643"/>
      <c r="WG343" s="643"/>
      <c r="WH343" s="643"/>
      <c r="WI343" s="643"/>
      <c r="WJ343" s="643"/>
      <c r="WK343" s="643"/>
      <c r="WL343" s="643"/>
      <c r="WM343" s="643"/>
      <c r="WN343" s="643"/>
      <c r="WO343" s="643"/>
      <c r="WP343" s="643"/>
      <c r="WQ343" s="643"/>
      <c r="WR343" s="643"/>
      <c r="WS343" s="643"/>
      <c r="WT343" s="643"/>
      <c r="WU343" s="643"/>
      <c r="WV343" s="643"/>
      <c r="WW343" s="643"/>
      <c r="WX343" s="643"/>
      <c r="WY343" s="643"/>
      <c r="WZ343" s="643"/>
      <c r="XA343" s="643"/>
      <c r="XB343" s="643"/>
      <c r="XC343" s="643"/>
      <c r="XD343" s="643"/>
      <c r="XE343" s="643"/>
      <c r="XF343" s="643"/>
      <c r="XG343" s="643"/>
      <c r="XH343" s="643"/>
      <c r="XI343" s="643"/>
      <c r="XJ343" s="643"/>
      <c r="XK343" s="643"/>
      <c r="XL343" s="643"/>
      <c r="XM343" s="643"/>
      <c r="XN343" s="643"/>
      <c r="XO343" s="643"/>
      <c r="XP343" s="643"/>
      <c r="XQ343" s="643"/>
      <c r="XR343" s="643"/>
      <c r="XS343" s="643"/>
      <c r="XT343" s="643"/>
      <c r="XU343" s="643"/>
      <c r="XV343" s="643"/>
      <c r="XW343" s="643"/>
      <c r="XX343" s="643"/>
      <c r="XY343" s="643"/>
      <c r="XZ343" s="643"/>
      <c r="YA343" s="643"/>
      <c r="YB343" s="643"/>
      <c r="YC343" s="643"/>
      <c r="YD343" s="643"/>
      <c r="YE343" s="643"/>
      <c r="YF343" s="643"/>
      <c r="YG343" s="643"/>
      <c r="YH343" s="643"/>
      <c r="YI343" s="643"/>
      <c r="YJ343" s="643"/>
      <c r="YK343" s="643"/>
      <c r="YL343" s="643"/>
      <c r="YM343" s="643"/>
      <c r="YN343" s="643"/>
      <c r="YO343" s="643"/>
      <c r="YP343" s="643"/>
      <c r="YQ343" s="643"/>
      <c r="YR343" s="643"/>
      <c r="YS343" s="643"/>
      <c r="YT343" s="643"/>
      <c r="YU343" s="643"/>
      <c r="YV343" s="643"/>
      <c r="YW343" s="643"/>
      <c r="YX343" s="643"/>
      <c r="YY343" s="643"/>
      <c r="YZ343" s="643"/>
      <c r="ZA343" s="643"/>
      <c r="ZB343" s="643"/>
      <c r="ZC343" s="643"/>
      <c r="ZD343" s="643"/>
      <c r="ZE343" s="643"/>
      <c r="ZF343" s="643"/>
      <c r="ZG343" s="643"/>
      <c r="ZH343" s="643"/>
      <c r="ZI343" s="643"/>
      <c r="ZJ343" s="643"/>
      <c r="ZK343" s="643"/>
      <c r="ZL343" s="643"/>
      <c r="ZM343" s="643"/>
      <c r="ZN343" s="643"/>
      <c r="ZO343" s="643"/>
      <c r="ZP343" s="643"/>
      <c r="ZQ343" s="643"/>
      <c r="ZR343" s="643"/>
      <c r="ZS343" s="643"/>
      <c r="ZT343" s="643"/>
      <c r="ZU343" s="643"/>
      <c r="ZV343" s="643"/>
      <c r="ZW343" s="643"/>
      <c r="ZX343" s="643"/>
      <c r="ZY343" s="50"/>
      <c r="ZZ343" s="50"/>
      <c r="AAA343" s="590"/>
      <c r="AAD343" s="113"/>
      <c r="AAE343" s="553">
        <f t="shared" ref="AAE343:AAE371" si="951">IF(AND(S.InvolveNotice=TRUE,S.InvolveHearing=TRUE),1,0)</f>
        <v>1</v>
      </c>
      <c r="AAF343" s="586"/>
      <c r="AAG343" s="78">
        <f>S.BANNER.HearingStart</f>
        <v>41450</v>
      </c>
      <c r="AAH343" s="78">
        <f>S.FirstHearingDate</f>
        <v>41502</v>
      </c>
      <c r="AAI343" s="77"/>
      <c r="AAJ343" s="77"/>
      <c r="AAK343" s="77"/>
      <c r="AAL343" s="57"/>
      <c r="AAM343" s="113"/>
      <c r="AAN343"/>
      <c r="AAT343" s="23"/>
      <c r="AAU343" s="44"/>
    </row>
    <row r="344" spans="1:732" ht="15" customHeight="1" outlineLevel="1">
      <c r="A344" s="560"/>
      <c r="B344" s="347" t="s">
        <v>46</v>
      </c>
      <c r="C344" s="169"/>
      <c r="D344" s="295"/>
      <c r="E344" s="451"/>
      <c r="F344" s="451"/>
      <c r="G344" s="452"/>
      <c r="H344" s="452"/>
      <c r="I344" s="590"/>
      <c r="J344" s="594"/>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50"/>
      <c r="BZ344" s="50"/>
      <c r="CA344" s="50"/>
      <c r="CB344" s="50"/>
      <c r="CC344" s="50"/>
      <c r="CD344" s="50"/>
      <c r="CE344" s="50"/>
      <c r="CF344" s="50"/>
      <c r="CG344" s="50"/>
      <c r="CH344" s="50"/>
      <c r="CI344" s="50"/>
      <c r="CJ344" s="50"/>
      <c r="CK344" s="50"/>
      <c r="CL344" s="50"/>
      <c r="CM344" s="50"/>
      <c r="CN344" s="50"/>
      <c r="CO344" s="50"/>
      <c r="CP344" s="50"/>
      <c r="CQ344" s="50"/>
      <c r="CR344" s="50"/>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50"/>
      <c r="DS344" s="50"/>
      <c r="DT344" s="50"/>
      <c r="DU344" s="50"/>
      <c r="DV344" s="50"/>
      <c r="DW344" s="50"/>
      <c r="DX344" s="50"/>
      <c r="DY344" s="50"/>
      <c r="DZ344" s="50"/>
      <c r="EA344" s="50"/>
      <c r="EB344" s="50"/>
      <c r="EC344" s="50"/>
      <c r="ED344" s="50"/>
      <c r="EE344" s="50"/>
      <c r="EF344" s="50"/>
      <c r="EG344" s="50"/>
      <c r="EH344" s="50"/>
      <c r="EI344" s="50"/>
      <c r="EJ344" s="50"/>
      <c r="EK344" s="50"/>
      <c r="EL344" s="50"/>
      <c r="EM344" s="50"/>
      <c r="EN344" s="50"/>
      <c r="EO344" s="50"/>
      <c r="EP344" s="50"/>
      <c r="EQ344" s="50"/>
      <c r="ER344" s="50"/>
      <c r="ES344" s="50"/>
      <c r="ET344" s="50"/>
      <c r="EU344" s="50"/>
      <c r="EV344" s="50"/>
      <c r="EW344" s="50"/>
      <c r="EX344" s="50"/>
      <c r="EY344" s="50"/>
      <c r="EZ344" s="50"/>
      <c r="FA344" s="50"/>
      <c r="FB344" s="50"/>
      <c r="FC344" s="50"/>
      <c r="FD344" s="50"/>
      <c r="FE344" s="50"/>
      <c r="FF344" s="50"/>
      <c r="FG344" s="50"/>
      <c r="FH344" s="50"/>
      <c r="FI344" s="50"/>
      <c r="FJ344" s="50"/>
      <c r="FK344" s="50"/>
      <c r="FL344" s="50"/>
      <c r="FM344" s="50"/>
      <c r="FN344" s="50"/>
      <c r="FO344" s="50"/>
      <c r="FP344" s="50"/>
      <c r="FQ344" s="50"/>
      <c r="FR344" s="50"/>
      <c r="FS344" s="50"/>
      <c r="FT344" s="50"/>
      <c r="FU344" s="50"/>
      <c r="FV344" s="50"/>
      <c r="FW344" s="50"/>
      <c r="FX344" s="50"/>
      <c r="FY344" s="50"/>
      <c r="FZ344" s="50"/>
      <c r="GA344" s="50"/>
      <c r="GB344" s="50"/>
      <c r="GC344" s="50"/>
      <c r="GD344" s="50"/>
      <c r="GE344" s="50"/>
      <c r="GF344" s="50"/>
      <c r="GG344" s="50"/>
      <c r="GH344" s="50"/>
      <c r="GI344" s="50"/>
      <c r="GJ344" s="50"/>
      <c r="GK344" s="50"/>
      <c r="GL344" s="50"/>
      <c r="GM344" s="50"/>
      <c r="GN344" s="50"/>
      <c r="GO344" s="50"/>
      <c r="GP344" s="50"/>
      <c r="GQ344" s="50"/>
      <c r="GR344" s="50"/>
      <c r="GS344" s="50"/>
      <c r="GT344" s="50"/>
      <c r="GU344" s="50"/>
      <c r="GV344" s="50"/>
      <c r="GW344" s="50"/>
      <c r="GX344" s="50"/>
      <c r="GY344" s="50"/>
      <c r="GZ344" s="50"/>
      <c r="HA344" s="50"/>
      <c r="HB344" s="50"/>
      <c r="HC344" s="50"/>
      <c r="HD344" s="50"/>
      <c r="HE344" s="50"/>
      <c r="HF344" s="50"/>
      <c r="HG344" s="50"/>
      <c r="HH344" s="50"/>
      <c r="HI344" s="50"/>
      <c r="HJ344" s="50"/>
      <c r="HK344" s="50"/>
      <c r="HL344" s="50"/>
      <c r="HM344" s="50"/>
      <c r="HN344" s="50"/>
      <c r="HO344" s="50"/>
      <c r="HP344" s="50"/>
      <c r="HQ344" s="50"/>
      <c r="HR344" s="50"/>
      <c r="HS344" s="50"/>
      <c r="HT344" s="50"/>
      <c r="HU344" s="50"/>
      <c r="HV344" s="50"/>
      <c r="HW344" s="50"/>
      <c r="HX344" s="50"/>
      <c r="HY344" s="50"/>
      <c r="HZ344" s="50"/>
      <c r="IA344" s="50"/>
      <c r="IB344" s="50"/>
      <c r="IC344" s="50"/>
      <c r="ID344" s="50"/>
      <c r="IE344" s="50"/>
      <c r="IF344" s="50"/>
      <c r="IG344" s="50"/>
      <c r="IH344" s="50"/>
      <c r="II344" s="50"/>
      <c r="IJ344" s="50"/>
      <c r="IK344" s="50"/>
      <c r="IL344" s="50"/>
      <c r="IM344" s="50"/>
      <c r="IN344" s="50"/>
      <c r="IO344" s="50"/>
      <c r="IP344" s="50"/>
      <c r="IQ344" s="50"/>
      <c r="IR344" s="50"/>
      <c r="IS344" s="50"/>
      <c r="IT344" s="50"/>
      <c r="IU344" s="50"/>
      <c r="IV344" s="50"/>
      <c r="IW344" s="50"/>
      <c r="IX344" s="50"/>
      <c r="IY344" s="50"/>
      <c r="IZ344" s="50"/>
      <c r="JA344" s="50"/>
      <c r="JB344" s="50"/>
      <c r="JC344" s="50"/>
      <c r="JD344" s="50"/>
      <c r="JE344" s="50"/>
      <c r="JF344" s="50"/>
      <c r="JG344" s="50"/>
      <c r="JH344" s="50"/>
      <c r="JI344" s="50"/>
      <c r="JJ344" s="50"/>
      <c r="JK344" s="50"/>
      <c r="JL344" s="50"/>
      <c r="JM344" s="50"/>
      <c r="JN344" s="50"/>
      <c r="JO344" s="50"/>
      <c r="JP344" s="50"/>
      <c r="JQ344" s="50"/>
      <c r="JR344" s="50"/>
      <c r="JS344" s="50"/>
      <c r="JT344" s="50"/>
      <c r="JU344" s="50"/>
      <c r="JV344" s="50"/>
      <c r="JW344" s="50"/>
      <c r="JX344" s="50"/>
      <c r="JY344" s="50"/>
      <c r="JZ344" s="50"/>
      <c r="KA344" s="50"/>
      <c r="KB344" s="50"/>
      <c r="KC344" s="50"/>
      <c r="KD344" s="50"/>
      <c r="KE344" s="50"/>
      <c r="KF344" s="50"/>
      <c r="KG344" s="50"/>
      <c r="KH344" s="50"/>
      <c r="KI344" s="50"/>
      <c r="KJ344" s="50"/>
      <c r="KK344" s="50"/>
      <c r="KL344" s="50"/>
      <c r="KM344" s="50"/>
      <c r="KN344" s="50"/>
      <c r="KO344" s="50"/>
      <c r="KP344" s="50"/>
      <c r="KQ344" s="50"/>
      <c r="KR344" s="50"/>
      <c r="KS344" s="50"/>
      <c r="KT344" s="50"/>
      <c r="KU344" s="50"/>
      <c r="KV344" s="50"/>
      <c r="KW344" s="50"/>
      <c r="KX344" s="50"/>
      <c r="KY344" s="50"/>
      <c r="KZ344" s="50"/>
      <c r="LA344" s="50"/>
      <c r="LB344" s="50"/>
      <c r="LC344" s="50"/>
      <c r="LD344" s="50"/>
      <c r="LE344" s="50"/>
      <c r="LF344" s="50"/>
      <c r="LG344" s="50"/>
      <c r="LH344" s="50"/>
      <c r="LI344" s="50"/>
      <c r="LJ344" s="50"/>
      <c r="LK344" s="50"/>
      <c r="LL344" s="50"/>
      <c r="LM344" s="50"/>
      <c r="LN344" s="50"/>
      <c r="LO344" s="50"/>
      <c r="LP344" s="50"/>
      <c r="LQ344" s="50"/>
      <c r="LR344" s="50"/>
      <c r="LS344" s="50"/>
      <c r="LT344" s="50"/>
      <c r="LU344" s="50"/>
      <c r="LV344" s="50"/>
      <c r="LW344" s="50"/>
      <c r="LX344" s="50"/>
      <c r="LY344" s="50"/>
      <c r="LZ344" s="50"/>
      <c r="MA344" s="50"/>
      <c r="MB344" s="50"/>
      <c r="MC344" s="50"/>
      <c r="MD344" s="50"/>
      <c r="ME344" s="50"/>
      <c r="MF344" s="50"/>
      <c r="MG344" s="50"/>
      <c r="MH344" s="50"/>
      <c r="MI344" s="50"/>
      <c r="MJ344" s="50"/>
      <c r="MK344" s="50"/>
      <c r="ML344" s="50"/>
      <c r="MM344" s="50"/>
      <c r="MN344" s="50"/>
      <c r="MO344" s="50"/>
      <c r="MP344" s="50"/>
      <c r="MQ344" s="50"/>
      <c r="MR344" s="50"/>
      <c r="MS344" s="50"/>
      <c r="MT344" s="50"/>
      <c r="MU344" s="50"/>
      <c r="MV344" s="50"/>
      <c r="MW344" s="50"/>
      <c r="MX344" s="50"/>
      <c r="MY344" s="50"/>
      <c r="MZ344" s="50"/>
      <c r="NA344" s="50"/>
      <c r="NB344" s="50"/>
      <c r="NC344" s="50"/>
      <c r="ND344" s="50"/>
      <c r="NE344" s="50"/>
      <c r="NF344" s="50"/>
      <c r="NG344" s="50"/>
      <c r="NH344" s="50"/>
      <c r="NI344" s="50"/>
      <c r="NJ344" s="50"/>
      <c r="NK344" s="50"/>
      <c r="NL344" s="50"/>
      <c r="NM344" s="50"/>
      <c r="NN344" s="50"/>
      <c r="NO344" s="50"/>
      <c r="NP344" s="50"/>
      <c r="NQ344" s="50"/>
      <c r="NR344" s="50"/>
      <c r="NS344" s="50"/>
      <c r="NT344" s="50"/>
      <c r="NU344" s="50"/>
      <c r="NV344" s="50"/>
      <c r="NW344" s="50"/>
      <c r="NX344" s="50"/>
      <c r="NY344" s="50"/>
      <c r="NZ344" s="50"/>
      <c r="OA344" s="50"/>
      <c r="OB344" s="50"/>
      <c r="OC344" s="50"/>
      <c r="OD344" s="50"/>
      <c r="OE344" s="50"/>
      <c r="OF344" s="50"/>
      <c r="OG344" s="50"/>
      <c r="OH344" s="50"/>
      <c r="OI344" s="50"/>
      <c r="OJ344" s="50"/>
      <c r="OK344" s="50"/>
      <c r="OL344" s="50"/>
      <c r="OM344" s="50"/>
      <c r="ON344" s="50"/>
      <c r="OO344" s="50"/>
      <c r="OP344" s="50"/>
      <c r="OQ344" s="50"/>
      <c r="OR344" s="50"/>
      <c r="OS344" s="50"/>
      <c r="OT344" s="50"/>
      <c r="OU344" s="50"/>
      <c r="OV344" s="50"/>
      <c r="OW344" s="50"/>
      <c r="OX344" s="50"/>
      <c r="OY344" s="50"/>
      <c r="OZ344" s="50"/>
      <c r="PA344" s="50"/>
      <c r="PB344" s="50"/>
      <c r="PC344" s="50"/>
      <c r="PD344" s="50"/>
      <c r="PE344" s="50"/>
      <c r="PF344" s="50"/>
      <c r="PG344" s="50"/>
      <c r="PH344" s="50"/>
      <c r="PI344" s="50"/>
      <c r="PJ344" s="50"/>
      <c r="PK344" s="50"/>
      <c r="PL344" s="50"/>
      <c r="PM344" s="50"/>
      <c r="PN344" s="50"/>
      <c r="PO344" s="50"/>
      <c r="PP344" s="50"/>
      <c r="PQ344" s="50"/>
      <c r="PR344" s="50"/>
      <c r="PS344" s="50"/>
      <c r="PT344" s="50"/>
      <c r="PU344" s="50"/>
      <c r="PV344" s="50"/>
      <c r="PW344" s="50"/>
      <c r="PX344" s="50"/>
      <c r="PY344" s="50"/>
      <c r="PZ344" s="50"/>
      <c r="QA344" s="50"/>
      <c r="QB344" s="50"/>
      <c r="QC344" s="50"/>
      <c r="QD344" s="50"/>
      <c r="QE344" s="50"/>
      <c r="QF344" s="50"/>
      <c r="QG344" s="50"/>
      <c r="QH344" s="50"/>
      <c r="QI344" s="50"/>
      <c r="QJ344" s="50"/>
      <c r="QK344" s="50"/>
      <c r="QL344" s="50"/>
      <c r="QM344" s="50"/>
      <c r="QN344" s="50"/>
      <c r="QO344" s="50"/>
      <c r="QP344" s="50"/>
      <c r="QQ344" s="50"/>
      <c r="QR344" s="50"/>
      <c r="QS344" s="50"/>
      <c r="QT344" s="50"/>
      <c r="QU344" s="50"/>
      <c r="QV344" s="50"/>
      <c r="QW344" s="50"/>
      <c r="QX344" s="50"/>
      <c r="QY344" s="50"/>
      <c r="QZ344" s="50"/>
      <c r="RA344" s="50"/>
      <c r="RB344" s="50"/>
      <c r="RC344" s="50"/>
      <c r="RD344" s="50"/>
      <c r="RE344" s="50"/>
      <c r="RF344" s="50"/>
      <c r="RG344" s="50"/>
      <c r="RH344" s="50"/>
      <c r="RI344" s="50"/>
      <c r="RJ344" s="50"/>
      <c r="RK344" s="50"/>
      <c r="RL344" s="50"/>
      <c r="RM344" s="50"/>
      <c r="RN344" s="50"/>
      <c r="RO344" s="50"/>
      <c r="RP344" s="50"/>
      <c r="RQ344" s="50"/>
      <c r="RR344" s="50"/>
      <c r="RS344" s="50"/>
      <c r="RT344" s="50"/>
      <c r="RU344" s="50"/>
      <c r="RV344" s="50"/>
      <c r="RW344" s="50"/>
      <c r="RX344" s="50"/>
      <c r="RY344" s="50"/>
      <c r="RZ344" s="50"/>
      <c r="SA344" s="50"/>
      <c r="SB344" s="50"/>
      <c r="SC344" s="50"/>
      <c r="SD344" s="50"/>
      <c r="SE344" s="50"/>
      <c r="SF344" s="50"/>
      <c r="SG344" s="50"/>
      <c r="SH344" s="50"/>
      <c r="SI344" s="50"/>
      <c r="SJ344" s="50"/>
      <c r="SK344" s="50"/>
      <c r="SL344" s="50"/>
      <c r="SM344" s="50"/>
      <c r="SN344" s="50"/>
      <c r="SO344" s="50"/>
      <c r="SP344" s="50"/>
      <c r="SQ344" s="50"/>
      <c r="SR344" s="50"/>
      <c r="SS344" s="50"/>
      <c r="ST344" s="50"/>
      <c r="SU344" s="50"/>
      <c r="SV344" s="50"/>
      <c r="SW344" s="50"/>
      <c r="SX344" s="50"/>
      <c r="SY344" s="50"/>
      <c r="SZ344" s="50"/>
      <c r="TA344" s="50"/>
      <c r="TB344" s="50"/>
      <c r="TC344" s="50"/>
      <c r="TD344" s="50"/>
      <c r="TE344" s="50"/>
      <c r="TF344" s="50"/>
      <c r="TG344" s="50"/>
      <c r="TH344" s="50"/>
      <c r="TI344" s="50"/>
      <c r="TJ344" s="50"/>
      <c r="TK344" s="50"/>
      <c r="TL344" s="50"/>
      <c r="TM344" s="50"/>
      <c r="TN344" s="50"/>
      <c r="TO344" s="50"/>
      <c r="TP344" s="50"/>
      <c r="TQ344" s="50"/>
      <c r="TR344" s="50"/>
      <c r="TS344" s="50"/>
      <c r="TT344" s="50"/>
      <c r="TU344" s="50"/>
      <c r="TV344" s="50"/>
      <c r="TW344" s="50"/>
      <c r="TX344" s="50"/>
      <c r="TY344" s="50"/>
      <c r="TZ344" s="50"/>
      <c r="UA344" s="50"/>
      <c r="UB344" s="50"/>
      <c r="UC344" s="50"/>
      <c r="UD344" s="50"/>
      <c r="UE344" s="50"/>
      <c r="UF344" s="50"/>
      <c r="UG344" s="50"/>
      <c r="UH344" s="50"/>
      <c r="UI344" s="50"/>
      <c r="UJ344" s="50"/>
      <c r="UK344" s="50"/>
      <c r="UL344" s="50"/>
      <c r="UM344" s="50"/>
      <c r="UN344" s="50"/>
      <c r="UO344" s="50"/>
      <c r="UP344" s="50"/>
      <c r="UQ344" s="50"/>
      <c r="UR344" s="50"/>
      <c r="US344" s="50"/>
      <c r="UT344" s="50"/>
      <c r="UU344" s="50"/>
      <c r="UV344" s="50"/>
      <c r="UW344" s="50"/>
      <c r="UX344" s="50"/>
      <c r="UY344" s="50"/>
      <c r="UZ344" s="50"/>
      <c r="VA344" s="50"/>
      <c r="VB344" s="50"/>
      <c r="VC344" s="50"/>
      <c r="VD344" s="50"/>
      <c r="VE344" s="50"/>
      <c r="VF344" s="50"/>
      <c r="VG344" s="50"/>
      <c r="VH344" s="50"/>
      <c r="VI344" s="50"/>
      <c r="VJ344" s="50"/>
      <c r="VK344" s="50"/>
      <c r="VL344" s="50"/>
      <c r="VM344" s="50"/>
      <c r="VN344" s="50"/>
      <c r="VO344" s="50"/>
      <c r="VP344" s="50"/>
      <c r="VQ344" s="50"/>
      <c r="VR344" s="50"/>
      <c r="VS344" s="50"/>
      <c r="VT344" s="50"/>
      <c r="VU344" s="50"/>
      <c r="VV344" s="50"/>
      <c r="VW344" s="50"/>
      <c r="VX344" s="50"/>
      <c r="VY344" s="50"/>
      <c r="VZ344" s="50"/>
      <c r="WA344" s="50"/>
      <c r="WB344" s="50"/>
      <c r="WC344" s="50"/>
      <c r="WD344" s="50"/>
      <c r="WE344" s="50"/>
      <c r="WF344" s="50"/>
      <c r="WG344" s="50"/>
      <c r="WH344" s="50"/>
      <c r="WI344" s="50"/>
      <c r="WJ344" s="50"/>
      <c r="WK344" s="50"/>
      <c r="WL344" s="50"/>
      <c r="WM344" s="50"/>
      <c r="WN344" s="50"/>
      <c r="WO344" s="50"/>
      <c r="WP344" s="50"/>
      <c r="WQ344" s="50"/>
      <c r="WR344" s="50"/>
      <c r="WS344" s="50"/>
      <c r="WT344" s="50"/>
      <c r="WU344" s="50"/>
      <c r="WV344" s="50"/>
      <c r="WW344" s="50"/>
      <c r="WX344" s="50"/>
      <c r="WY344" s="50"/>
      <c r="WZ344" s="50"/>
      <c r="XA344" s="50"/>
      <c r="XB344" s="50"/>
      <c r="XC344" s="50"/>
      <c r="XD344" s="50"/>
      <c r="XE344" s="50"/>
      <c r="XF344" s="50"/>
      <c r="XG344" s="50"/>
      <c r="XH344" s="50"/>
      <c r="XI344" s="50"/>
      <c r="XJ344" s="50"/>
      <c r="XK344" s="50"/>
      <c r="XL344" s="50"/>
      <c r="XM344" s="50"/>
      <c r="XN344" s="50"/>
      <c r="XO344" s="50"/>
      <c r="XP344" s="50"/>
      <c r="XQ344" s="50"/>
      <c r="XR344" s="50"/>
      <c r="XS344" s="50"/>
      <c r="XT344" s="50"/>
      <c r="XU344" s="50"/>
      <c r="XV344" s="50"/>
      <c r="XW344" s="50"/>
      <c r="XX344" s="50"/>
      <c r="XY344" s="50"/>
      <c r="XZ344" s="50"/>
      <c r="YA344" s="50"/>
      <c r="YB344" s="50"/>
      <c r="YC344" s="50"/>
      <c r="YD344" s="50"/>
      <c r="YE344" s="50"/>
      <c r="YF344" s="50"/>
      <c r="YG344" s="50"/>
      <c r="YH344" s="50"/>
      <c r="YI344" s="50"/>
      <c r="YJ344" s="50"/>
      <c r="YK344" s="50"/>
      <c r="YL344" s="50"/>
      <c r="YM344" s="50"/>
      <c r="YN344" s="50"/>
      <c r="YO344" s="50"/>
      <c r="YP344" s="50"/>
      <c r="YQ344" s="50"/>
      <c r="YR344" s="50"/>
      <c r="YS344" s="50"/>
      <c r="YT344" s="50"/>
      <c r="YU344" s="50"/>
      <c r="YV344" s="50"/>
      <c r="YW344" s="50"/>
      <c r="YX344" s="50"/>
      <c r="YY344" s="50"/>
      <c r="YZ344" s="50"/>
      <c r="ZA344" s="50"/>
      <c r="ZB344" s="50"/>
      <c r="ZC344" s="50"/>
      <c r="ZD344" s="50"/>
      <c r="ZE344" s="50"/>
      <c r="ZF344" s="50"/>
      <c r="ZG344" s="50"/>
      <c r="ZH344" s="50"/>
      <c r="ZI344" s="50"/>
      <c r="ZJ344" s="50"/>
      <c r="ZK344" s="50"/>
      <c r="ZL344" s="50"/>
      <c r="ZM344" s="50"/>
      <c r="ZN344" s="50"/>
      <c r="ZO344" s="50"/>
      <c r="ZP344" s="50"/>
      <c r="ZQ344" s="50"/>
      <c r="ZR344" s="50"/>
      <c r="ZS344" s="50"/>
      <c r="ZT344" s="50"/>
      <c r="ZU344" s="50"/>
      <c r="ZV344" s="50"/>
      <c r="ZW344" s="50"/>
      <c r="ZX344" s="50"/>
      <c r="ZY344" s="620"/>
      <c r="ZZ344" s="36"/>
      <c r="AAA344" s="590"/>
      <c r="AAD344" s="113"/>
      <c r="AAE344" s="553">
        <f t="shared" si="951"/>
        <v>1</v>
      </c>
      <c r="AAF344" s="585" t="s">
        <v>199</v>
      </c>
      <c r="AAG344" s="76"/>
      <c r="AAH344" s="76"/>
      <c r="AAI344" s="77"/>
      <c r="AAJ344" s="77"/>
      <c r="AAK344" s="77"/>
      <c r="AAL344" s="57"/>
      <c r="AAM344" s="113"/>
      <c r="AAN344"/>
      <c r="AAT344" s="23"/>
      <c r="AAU344" s="44"/>
    </row>
    <row r="345" spans="1:732" ht="15" customHeight="1" outlineLevel="1">
      <c r="A345" s="560"/>
      <c r="B345" s="347" t="s">
        <v>45</v>
      </c>
      <c r="C345" s="232" t="s">
        <v>73</v>
      </c>
      <c r="D345" s="146"/>
      <c r="E345" s="401"/>
      <c r="F345" s="401"/>
      <c r="G345" s="402"/>
      <c r="H345" s="402"/>
      <c r="I345" s="590"/>
      <c r="J345" s="594"/>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20"/>
      <c r="ZZ345" s="36"/>
      <c r="AAA345" s="590"/>
      <c r="AAD345" s="113"/>
      <c r="AAE345" s="553">
        <f t="shared" si="951"/>
        <v>1</v>
      </c>
      <c r="AAF345" s="585" t="s">
        <v>199</v>
      </c>
      <c r="AAG345" s="76"/>
      <c r="AAH345" s="76"/>
      <c r="AAI345" s="77"/>
      <c r="AAJ345" s="77"/>
      <c r="AAK345" s="77"/>
      <c r="AAL345" s="57"/>
      <c r="AAM345" s="113"/>
      <c r="AAN345"/>
      <c r="AAT345" s="23"/>
      <c r="AAU345" s="44"/>
    </row>
    <row r="346" spans="1:732" ht="15" customHeight="1" outlineLevel="1">
      <c r="A346" s="560"/>
      <c r="B346" s="439" t="s">
        <v>165</v>
      </c>
      <c r="C346" s="297"/>
      <c r="D346" s="278" t="s">
        <v>167</v>
      </c>
      <c r="E346" s="449">
        <f>NETWORKDAYS(G346,H346,S.DDL_DEQClosed)</f>
        <v>38</v>
      </c>
      <c r="F346" s="493">
        <f ca="1">NETWORKDAYS(TODAY(),H346)</f>
        <v>88</v>
      </c>
      <c r="G346" s="450">
        <f>AAG346</f>
        <v>41450</v>
      </c>
      <c r="H346" s="450">
        <f>AAH346</f>
        <v>41502</v>
      </c>
      <c r="I346" s="629"/>
      <c r="J346" s="594"/>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50"/>
      <c r="ZZ346" s="50"/>
      <c r="AAA346" s="590"/>
      <c r="AAD346" s="113"/>
      <c r="AAE346" s="553">
        <f t="shared" si="951"/>
        <v>1</v>
      </c>
      <c r="AAF346" s="113"/>
      <c r="AAG346" s="78">
        <f>S.BANNER.HearingStart</f>
        <v>41450</v>
      </c>
      <c r="AAH346" s="78">
        <f>S.FirstHearingDate</f>
        <v>41502</v>
      </c>
      <c r="AAI346" s="77"/>
      <c r="AAJ346" s="77"/>
      <c r="AAK346" s="77"/>
      <c r="AAL346" s="57"/>
      <c r="AAM346" s="113"/>
      <c r="AAN346"/>
      <c r="AAT346" s="23"/>
      <c r="AAU346" s="44"/>
    </row>
    <row r="347" spans="1:732" ht="15" customHeight="1" outlineLevel="1">
      <c r="A347" s="560"/>
      <c r="B347" s="440" t="s">
        <v>132</v>
      </c>
      <c r="C347" s="725"/>
      <c r="D347" s="146"/>
      <c r="E347" s="401"/>
      <c r="F347" s="401"/>
      <c r="G347" s="402"/>
      <c r="H347" s="402"/>
      <c r="I347" s="590"/>
      <c r="J347" s="594"/>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620"/>
      <c r="ZZ347" s="36"/>
      <c r="AAA347" s="590"/>
      <c r="AAD347" s="113"/>
      <c r="AAE347" s="553">
        <f t="shared" si="951"/>
        <v>1</v>
      </c>
      <c r="AAF347" s="585" t="s">
        <v>199</v>
      </c>
      <c r="AAG347" s="76"/>
      <c r="AAH347" s="76"/>
      <c r="AAI347" s="77"/>
      <c r="AAJ347" s="77"/>
      <c r="AAK347" s="77"/>
      <c r="AAL347" s="89" t="str">
        <f>"Develop "&amp;S.CodeName&amp;"HEARING.TEXT"</f>
        <v>Develop HEARING.TEXT</v>
      </c>
      <c r="AAM347" s="113"/>
      <c r="AAN347"/>
      <c r="AAT347" s="23"/>
      <c r="AAU347" s="44"/>
      <c r="AAV347" s="23"/>
      <c r="AAW347" s="23"/>
      <c r="AAX347" s="23"/>
      <c r="AAY347" s="23"/>
      <c r="AAZ347" s="23"/>
      <c r="ABA347" s="23"/>
      <c r="ABB347" s="23"/>
      <c r="ABC347" s="23"/>
      <c r="ABD347" s="23"/>
    </row>
    <row r="348" spans="1:732" ht="15" customHeight="1" outlineLevel="1">
      <c r="A348" s="560"/>
      <c r="B348" s="441" t="str">
        <f>AAL347</f>
        <v>Develop HEARING.TEXT</v>
      </c>
      <c r="C348" s="298"/>
      <c r="D348" s="146"/>
      <c r="E348" s="401"/>
      <c r="F348" s="401"/>
      <c r="G348" s="402"/>
      <c r="H348" s="402"/>
      <c r="I348" s="590"/>
      <c r="J348" s="594"/>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20"/>
      <c r="ZZ348" s="36"/>
      <c r="AAA348" s="590"/>
      <c r="AAD348" s="113"/>
      <c r="AAE348" s="553">
        <f t="shared" si="951"/>
        <v>1</v>
      </c>
      <c r="AAF348" s="585" t="s">
        <v>199</v>
      </c>
      <c r="AAG348" s="76"/>
      <c r="AAH348" s="76"/>
      <c r="AAI348" s="77"/>
      <c r="AAJ348" s="77"/>
      <c r="AAK348" s="77"/>
      <c r="AAL348" s="89" t="str">
        <f>"Develop "&amp;S.CodeName&amp;"MESSAGE.MAP"</f>
        <v>Develop MESSAGE.MAP</v>
      </c>
      <c r="AAM348" s="113"/>
      <c r="AAN348"/>
      <c r="AAT348" s="23"/>
      <c r="AAU348" s="44"/>
    </row>
    <row r="349" spans="1:732" s="23" customFormat="1" ht="15" customHeight="1" outlineLevel="1">
      <c r="A349" s="560"/>
      <c r="B349" s="442" t="str">
        <f>AAL348</f>
        <v>Develop MESSAGE.MAP</v>
      </c>
      <c r="C349" s="296" t="s">
        <v>73</v>
      </c>
      <c r="D349" s="146"/>
      <c r="E349" s="401"/>
      <c r="F349" s="401"/>
      <c r="G349" s="402"/>
      <c r="H349" s="402"/>
      <c r="I349" s="590"/>
      <c r="J349" s="594"/>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20"/>
      <c r="ZZ349" s="36"/>
      <c r="AAA349" s="590"/>
      <c r="AAB349"/>
      <c r="AAC349"/>
      <c r="AAD349" s="113"/>
      <c r="AAE349" s="553">
        <f t="shared" si="951"/>
        <v>1</v>
      </c>
      <c r="AAF349" s="585" t="s">
        <v>199</v>
      </c>
      <c r="AAG349" s="76"/>
      <c r="AAH349" s="76"/>
      <c r="AAI349" s="77"/>
      <c r="AAJ349" s="77"/>
      <c r="AAK349" s="77"/>
      <c r="AAL349" s="89" t="str">
        <f>"Develop "&amp;S.CodeName&amp;"POWER.POINT"</f>
        <v>Develop POWER.POINT</v>
      </c>
      <c r="AAM349" s="113"/>
      <c r="AAU349" s="44"/>
      <c r="AAV349"/>
      <c r="AAW349"/>
      <c r="AAX349"/>
      <c r="AAY349"/>
      <c r="AAZ349"/>
      <c r="ABA349"/>
      <c r="ABB349"/>
      <c r="ABC349"/>
      <c r="ABD349"/>
    </row>
    <row r="350" spans="1:732" ht="15" customHeight="1" outlineLevel="1">
      <c r="A350" s="560"/>
      <c r="B350" s="443" t="str">
        <f>AAL349</f>
        <v>Develop POWER.POINT</v>
      </c>
      <c r="C350" s="298"/>
      <c r="D350" s="146"/>
      <c r="E350" s="401"/>
      <c r="F350" s="401"/>
      <c r="G350" s="402"/>
      <c r="H350" s="402"/>
      <c r="I350" s="590"/>
      <c r="J350" s="594"/>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20"/>
      <c r="ZZ350" s="36"/>
      <c r="AAA350" s="590"/>
      <c r="AAD350" s="113"/>
      <c r="AAE350" s="553">
        <f t="shared" si="951"/>
        <v>1</v>
      </c>
      <c r="AAF350" s="585" t="s">
        <v>199</v>
      </c>
      <c r="AAG350" s="76"/>
      <c r="AAH350" s="76"/>
      <c r="AAI350" s="77"/>
      <c r="AAJ350" s="77"/>
      <c r="AAK350" s="77"/>
      <c r="AAL350" s="57"/>
      <c r="AAM350" s="113"/>
      <c r="AAN350"/>
      <c r="AAT350" s="23"/>
      <c r="AAU350" s="44"/>
    </row>
    <row r="351" spans="1:732" ht="15" customHeight="1" outlineLevel="1">
      <c r="A351" s="560"/>
      <c r="B351" s="442" t="s">
        <v>131</v>
      </c>
      <c r="C351" s="298"/>
      <c r="D351" s="196" t="s">
        <v>0</v>
      </c>
      <c r="E351" s="346" t="s">
        <v>0</v>
      </c>
      <c r="F351" s="367" t="s">
        <v>0</v>
      </c>
      <c r="G351" s="402"/>
      <c r="H351" s="402"/>
      <c r="I351" s="590"/>
      <c r="J351" s="594"/>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20"/>
      <c r="ZZ351" s="36"/>
      <c r="AAA351" s="590"/>
      <c r="AAD351" s="113"/>
      <c r="AAE351" s="553">
        <f t="shared" si="951"/>
        <v>1</v>
      </c>
      <c r="AAF351" s="585" t="s">
        <v>199</v>
      </c>
      <c r="AAG351" s="76"/>
      <c r="AAH351" s="76"/>
      <c r="AAI351" s="77"/>
      <c r="AAJ351" s="77"/>
      <c r="AAK351" s="77"/>
      <c r="AAL351" s="57"/>
      <c r="AAM351" s="113"/>
      <c r="AAN351"/>
      <c r="AAT351" s="23"/>
      <c r="AAU351" s="44"/>
    </row>
    <row r="352" spans="1:732" ht="15" customHeight="1" outlineLevel="1">
      <c r="A352" s="560"/>
      <c r="B352" s="444" t="s">
        <v>31</v>
      </c>
      <c r="C352" s="298"/>
      <c r="D352" s="280" t="s">
        <v>167</v>
      </c>
      <c r="E352" s="369">
        <f t="shared" ref="E352:E356" si="952">NETWORKDAYS(G352,H352,S.DDL_DEQClosed)</f>
        <v>1</v>
      </c>
      <c r="F352" s="493">
        <f t="shared" ref="F352:F356" ca="1" si="953">NETWORKDAYS(TODAY(),H352)</f>
        <v>50</v>
      </c>
      <c r="G352" s="450">
        <f>AAG352</f>
        <v>41450</v>
      </c>
      <c r="H352" s="450">
        <f>AAH352</f>
        <v>41450</v>
      </c>
      <c r="I352" s="629"/>
      <c r="J352" s="593"/>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47"/>
      <c r="DX352" s="47"/>
      <c r="DY352" s="47"/>
      <c r="DZ352" s="47"/>
      <c r="EA352" s="47"/>
      <c r="EB352" s="47"/>
      <c r="EC352" s="47"/>
      <c r="ED352" s="47"/>
      <c r="EE352" s="47"/>
      <c r="EF352" s="47"/>
      <c r="EG352" s="47"/>
      <c r="EH352" s="47"/>
      <c r="EI352" s="47"/>
      <c r="EJ352" s="47"/>
      <c r="EK352" s="47"/>
      <c r="EL352" s="47"/>
      <c r="EM352" s="47"/>
      <c r="EN352" s="47"/>
      <c r="EO352" s="47"/>
      <c r="EP352" s="47"/>
      <c r="EQ352" s="47"/>
      <c r="ER352" s="47"/>
      <c r="ES352" s="47"/>
      <c r="ET352" s="47"/>
      <c r="EU352" s="47"/>
      <c r="EV352" s="47"/>
      <c r="EW352" s="47"/>
      <c r="EX352" s="47"/>
      <c r="EY352" s="47"/>
      <c r="EZ352" s="47"/>
      <c r="FA352" s="47"/>
      <c r="FB352" s="47"/>
      <c r="FC352" s="47"/>
      <c r="FD352" s="47"/>
      <c r="FE352" s="47"/>
      <c r="FF352" s="47"/>
      <c r="FG352" s="47"/>
      <c r="FH352" s="47"/>
      <c r="FI352" s="47"/>
      <c r="FJ352" s="47"/>
      <c r="FK352" s="47"/>
      <c r="FL352" s="47"/>
      <c r="FM352" s="47"/>
      <c r="FN352" s="47"/>
      <c r="FO352" s="47"/>
      <c r="FP352" s="47"/>
      <c r="FQ352" s="47"/>
      <c r="FR352" s="47"/>
      <c r="FS352" s="47"/>
      <c r="FT352" s="47"/>
      <c r="FU352" s="47"/>
      <c r="FV352" s="47"/>
      <c r="FW352" s="47"/>
      <c r="FX352" s="47"/>
      <c r="FY352" s="47"/>
      <c r="FZ352" s="47"/>
      <c r="GA352" s="47"/>
      <c r="GB352" s="47"/>
      <c r="GC352" s="47"/>
      <c r="GD352" s="47"/>
      <c r="GE352" s="47"/>
      <c r="GF352" s="47"/>
      <c r="GG352" s="47"/>
      <c r="GH352" s="47"/>
      <c r="GI352" s="47"/>
      <c r="GJ352" s="47"/>
      <c r="GK352" s="47"/>
      <c r="GL352" s="47"/>
      <c r="GM352" s="47"/>
      <c r="GN352" s="47"/>
      <c r="GO352" s="47"/>
      <c r="GP352" s="47"/>
      <c r="GQ352" s="47"/>
      <c r="GR352" s="47"/>
      <c r="GS352" s="47"/>
      <c r="GT352" s="47"/>
      <c r="GU352" s="47"/>
      <c r="GV352" s="47"/>
      <c r="GW352" s="47"/>
      <c r="GX352" s="47"/>
      <c r="GY352" s="47"/>
      <c r="GZ352" s="47"/>
      <c r="HA352" s="47"/>
      <c r="HB352" s="47"/>
      <c r="HC352" s="47"/>
      <c r="HD352" s="47"/>
      <c r="HE352" s="47"/>
      <c r="HF352" s="47"/>
      <c r="HG352" s="47"/>
      <c r="HH352" s="47"/>
      <c r="HI352" s="47"/>
      <c r="HJ352" s="47"/>
      <c r="HK352" s="47"/>
      <c r="HL352" s="47"/>
      <c r="HM352" s="47"/>
      <c r="HN352" s="47"/>
      <c r="HO352" s="47"/>
      <c r="HP352" s="47"/>
      <c r="HQ352" s="47"/>
      <c r="HR352" s="47"/>
      <c r="HS352" s="47"/>
      <c r="HT352" s="47"/>
      <c r="HU352" s="47"/>
      <c r="HV352" s="47"/>
      <c r="HW352" s="47"/>
      <c r="HX352" s="47"/>
      <c r="HY352" s="47"/>
      <c r="HZ352" s="47"/>
      <c r="IA352" s="47"/>
      <c r="IB352" s="47"/>
      <c r="IC352" s="47"/>
      <c r="ID352" s="47"/>
      <c r="IE352" s="47"/>
      <c r="IF352" s="47"/>
      <c r="IG352" s="47"/>
      <c r="IH352" s="47"/>
      <c r="II352" s="47"/>
      <c r="IJ352" s="47"/>
      <c r="IK352" s="47"/>
      <c r="IL352" s="47"/>
      <c r="IM352" s="47"/>
      <c r="IN352" s="47"/>
      <c r="IO352" s="47"/>
      <c r="IP352" s="47"/>
      <c r="IQ352" s="47"/>
      <c r="IR352" s="47"/>
      <c r="IS352" s="47"/>
      <c r="IT352" s="47"/>
      <c r="IU352" s="47"/>
      <c r="IV352" s="47"/>
      <c r="IW352" s="47"/>
      <c r="IX352" s="47"/>
      <c r="IY352" s="47"/>
      <c r="IZ352" s="47"/>
      <c r="JA352" s="47"/>
      <c r="JB352" s="47"/>
      <c r="JC352" s="47"/>
      <c r="JD352" s="47"/>
      <c r="JE352" s="47"/>
      <c r="JF352" s="47"/>
      <c r="JG352" s="47"/>
      <c r="JH352" s="47"/>
      <c r="JI352" s="47"/>
      <c r="JJ352" s="47"/>
      <c r="JK352" s="47"/>
      <c r="JL352" s="47"/>
      <c r="JM352" s="47"/>
      <c r="JN352" s="47"/>
      <c r="JO352" s="47"/>
      <c r="JP352" s="47"/>
      <c r="JQ352" s="47"/>
      <c r="JR352" s="47"/>
      <c r="JS352" s="47"/>
      <c r="JT352" s="47"/>
      <c r="JU352" s="47"/>
      <c r="JV352" s="47"/>
      <c r="JW352" s="47"/>
      <c r="JX352" s="47"/>
      <c r="JY352" s="47"/>
      <c r="JZ352" s="47"/>
      <c r="KA352" s="47"/>
      <c r="KB352" s="47"/>
      <c r="KC352" s="47"/>
      <c r="KD352" s="47"/>
      <c r="KE352" s="47"/>
      <c r="KF352" s="47"/>
      <c r="KG352" s="47"/>
      <c r="KH352" s="47"/>
      <c r="KI352" s="47"/>
      <c r="KJ352" s="47"/>
      <c r="KK352" s="47"/>
      <c r="KL352" s="47"/>
      <c r="KM352" s="47"/>
      <c r="KN352" s="47"/>
      <c r="KO352" s="47"/>
      <c r="KP352" s="47"/>
      <c r="KQ352" s="47"/>
      <c r="KR352" s="47"/>
      <c r="KS352" s="47"/>
      <c r="KT352" s="47"/>
      <c r="KU352" s="47"/>
      <c r="KV352" s="47"/>
      <c r="KW352" s="47"/>
      <c r="KX352" s="47"/>
      <c r="KY352" s="47"/>
      <c r="KZ352" s="47"/>
      <c r="LA352" s="47"/>
      <c r="LB352" s="47"/>
      <c r="LC352" s="47"/>
      <c r="LD352" s="47"/>
      <c r="LE352" s="47"/>
      <c r="LF352" s="47"/>
      <c r="LG352" s="47"/>
      <c r="LH352" s="47"/>
      <c r="LI352" s="47"/>
      <c r="LJ352" s="47"/>
      <c r="LK352" s="47"/>
      <c r="LL352" s="47"/>
      <c r="LM352" s="47"/>
      <c r="LN352" s="47"/>
      <c r="LO352" s="47"/>
      <c r="LP352" s="47"/>
      <c r="LQ352" s="47"/>
      <c r="LR352" s="47"/>
      <c r="LS352" s="47"/>
      <c r="LT352" s="47"/>
      <c r="LU352" s="47"/>
      <c r="LV352" s="47"/>
      <c r="LW352" s="47"/>
      <c r="LX352" s="47"/>
      <c r="LY352" s="47"/>
      <c r="LZ352" s="47"/>
      <c r="MA352" s="47"/>
      <c r="MB352" s="47"/>
      <c r="MC352" s="47"/>
      <c r="MD352" s="47"/>
      <c r="ME352" s="47"/>
      <c r="MF352" s="47"/>
      <c r="MG352" s="47"/>
      <c r="MH352" s="47"/>
      <c r="MI352" s="47"/>
      <c r="MJ352" s="47"/>
      <c r="MK352" s="47"/>
      <c r="ML352" s="47"/>
      <c r="MM352" s="47"/>
      <c r="MN352" s="47"/>
      <c r="MO352" s="47"/>
      <c r="MP352" s="47"/>
      <c r="MQ352" s="47"/>
      <c r="MR352" s="47"/>
      <c r="MS352" s="47"/>
      <c r="MT352" s="47"/>
      <c r="MU352" s="47"/>
      <c r="MV352" s="47"/>
      <c r="MW352" s="47"/>
      <c r="MX352" s="47"/>
      <c r="MY352" s="47"/>
      <c r="MZ352" s="47"/>
      <c r="NA352" s="47"/>
      <c r="NB352" s="47"/>
      <c r="NC352" s="47"/>
      <c r="ND352" s="47"/>
      <c r="NE352" s="47"/>
      <c r="NF352" s="47"/>
      <c r="NG352" s="47"/>
      <c r="NH352" s="47"/>
      <c r="NI352" s="47"/>
      <c r="NJ352" s="47"/>
      <c r="NK352" s="47"/>
      <c r="NL352" s="47"/>
      <c r="NM352" s="47"/>
      <c r="NN352" s="47"/>
      <c r="NO352" s="47"/>
      <c r="NP352" s="47"/>
      <c r="NQ352" s="47"/>
      <c r="NR352" s="47"/>
      <c r="NS352" s="47"/>
      <c r="NT352" s="47"/>
      <c r="NU352" s="47"/>
      <c r="NV352" s="47"/>
      <c r="NW352" s="47"/>
      <c r="NX352" s="47"/>
      <c r="NY352" s="47"/>
      <c r="NZ352" s="47"/>
      <c r="OA352" s="47"/>
      <c r="OB352" s="47"/>
      <c r="OC352" s="47"/>
      <c r="OD352" s="47"/>
      <c r="OE352" s="47"/>
      <c r="OF352" s="47"/>
      <c r="OG352" s="47"/>
      <c r="OH352" s="47"/>
      <c r="OI352" s="47"/>
      <c r="OJ352" s="47"/>
      <c r="OK352" s="47"/>
      <c r="OL352" s="47"/>
      <c r="OM352" s="47"/>
      <c r="ON352" s="47"/>
      <c r="OO352" s="47"/>
      <c r="OP352" s="47"/>
      <c r="OQ352" s="47"/>
      <c r="OR352" s="47"/>
      <c r="OS352" s="47"/>
      <c r="OT352" s="47"/>
      <c r="OU352" s="47"/>
      <c r="OV352" s="47"/>
      <c r="OW352" s="47"/>
      <c r="OX352" s="47"/>
      <c r="OY352" s="47"/>
      <c r="OZ352" s="47"/>
      <c r="PA352" s="47"/>
      <c r="PB352" s="47"/>
      <c r="PC352" s="47"/>
      <c r="PD352" s="47"/>
      <c r="PE352" s="47"/>
      <c r="PF352" s="47"/>
      <c r="PG352" s="47"/>
      <c r="PH352" s="47"/>
      <c r="PI352" s="47"/>
      <c r="PJ352" s="47"/>
      <c r="PK352" s="47"/>
      <c r="PL352" s="47"/>
      <c r="PM352" s="47"/>
      <c r="PN352" s="47"/>
      <c r="PO352" s="47"/>
      <c r="PP352" s="47"/>
      <c r="PQ352" s="47"/>
      <c r="PR352" s="47"/>
      <c r="PS352" s="47"/>
      <c r="PT352" s="47"/>
      <c r="PU352" s="47"/>
      <c r="PV352" s="47"/>
      <c r="PW352" s="47"/>
      <c r="PX352" s="47"/>
      <c r="PY352" s="47"/>
      <c r="PZ352" s="47"/>
      <c r="QA352" s="47"/>
      <c r="QB352" s="47"/>
      <c r="QC352" s="47"/>
      <c r="QD352" s="47"/>
      <c r="QE352" s="47"/>
      <c r="QF352" s="47"/>
      <c r="QG352" s="47"/>
      <c r="QH352" s="47"/>
      <c r="QI352" s="47"/>
      <c r="QJ352" s="47"/>
      <c r="QK352" s="47"/>
      <c r="QL352" s="47"/>
      <c r="QM352" s="47"/>
      <c r="QN352" s="47"/>
      <c r="QO352" s="47"/>
      <c r="QP352" s="47"/>
      <c r="QQ352" s="47"/>
      <c r="QR352" s="47"/>
      <c r="QS352" s="47"/>
      <c r="QT352" s="47"/>
      <c r="QU352" s="47"/>
      <c r="QV352" s="47"/>
      <c r="QW352" s="47"/>
      <c r="QX352" s="47"/>
      <c r="QY352" s="47"/>
      <c r="QZ352" s="47"/>
      <c r="RA352" s="47"/>
      <c r="RB352" s="47"/>
      <c r="RC352" s="47"/>
      <c r="RD352" s="47"/>
      <c r="RE352" s="47"/>
      <c r="RF352" s="47"/>
      <c r="RG352" s="47"/>
      <c r="RH352" s="47"/>
      <c r="RI352" s="47"/>
      <c r="RJ352" s="47"/>
      <c r="RK352" s="47"/>
      <c r="RL352" s="47"/>
      <c r="RM352" s="47"/>
      <c r="RN352" s="47"/>
      <c r="RO352" s="47"/>
      <c r="RP352" s="47"/>
      <c r="RQ352" s="47"/>
      <c r="RR352" s="47"/>
      <c r="RS352" s="47"/>
      <c r="RT352" s="47"/>
      <c r="RU352" s="47"/>
      <c r="RV352" s="47"/>
      <c r="RW352" s="47"/>
      <c r="RX352" s="47"/>
      <c r="RY352" s="47"/>
      <c r="RZ352" s="47"/>
      <c r="SA352" s="47"/>
      <c r="SB352" s="47"/>
      <c r="SC352" s="47"/>
      <c r="SD352" s="47"/>
      <c r="SE352" s="47"/>
      <c r="SF352" s="47"/>
      <c r="SG352" s="47"/>
      <c r="SH352" s="47"/>
      <c r="SI352" s="47"/>
      <c r="SJ352" s="47"/>
      <c r="SK352" s="47"/>
      <c r="SL352" s="47"/>
      <c r="SM352" s="47"/>
      <c r="SN352" s="47"/>
      <c r="SO352" s="47"/>
      <c r="SP352" s="47"/>
      <c r="SQ352" s="47"/>
      <c r="SR352" s="47"/>
      <c r="SS352" s="47"/>
      <c r="ST352" s="47"/>
      <c r="SU352" s="47"/>
      <c r="SV352" s="47"/>
      <c r="SW352" s="47"/>
      <c r="SX352" s="47"/>
      <c r="SY352" s="47"/>
      <c r="SZ352" s="47"/>
      <c r="TA352" s="47"/>
      <c r="TB352" s="47"/>
      <c r="TC352" s="47"/>
      <c r="TD352" s="47"/>
      <c r="TE352" s="47"/>
      <c r="TF352" s="47"/>
      <c r="TG352" s="47"/>
      <c r="TH352" s="47"/>
      <c r="TI352" s="47"/>
      <c r="TJ352" s="47"/>
      <c r="TK352" s="47"/>
      <c r="TL352" s="47"/>
      <c r="TM352" s="47"/>
      <c r="TN352" s="47"/>
      <c r="TO352" s="47"/>
      <c r="TP352" s="47"/>
      <c r="TQ352" s="47"/>
      <c r="TR352" s="47"/>
      <c r="TS352" s="47"/>
      <c r="TT352" s="47"/>
      <c r="TU352" s="47"/>
      <c r="TV352" s="47"/>
      <c r="TW352" s="47"/>
      <c r="TX352" s="47"/>
      <c r="TY352" s="47"/>
      <c r="TZ352" s="47"/>
      <c r="UA352" s="47"/>
      <c r="UB352" s="47"/>
      <c r="UC352" s="47"/>
      <c r="UD352" s="47"/>
      <c r="UE352" s="47"/>
      <c r="UF352" s="47"/>
      <c r="UG352" s="47"/>
      <c r="UH352" s="47"/>
      <c r="UI352" s="47"/>
      <c r="UJ352" s="47"/>
      <c r="UK352" s="47"/>
      <c r="UL352" s="47"/>
      <c r="UM352" s="47"/>
      <c r="UN352" s="47"/>
      <c r="UO352" s="47"/>
      <c r="UP352" s="47"/>
      <c r="UQ352" s="47"/>
      <c r="UR352" s="47"/>
      <c r="US352" s="47"/>
      <c r="UT352" s="47"/>
      <c r="UU352" s="47"/>
      <c r="UV352" s="47"/>
      <c r="UW352" s="47"/>
      <c r="UX352" s="47"/>
      <c r="UY352" s="47"/>
      <c r="UZ352" s="47"/>
      <c r="VA352" s="47"/>
      <c r="VB352" s="47"/>
      <c r="VC352" s="47"/>
      <c r="VD352" s="47"/>
      <c r="VE352" s="47"/>
      <c r="VF352" s="47"/>
      <c r="VG352" s="47"/>
      <c r="VH352" s="47"/>
      <c r="VI352" s="47"/>
      <c r="VJ352" s="47"/>
      <c r="VK352" s="47"/>
      <c r="VL352" s="47"/>
      <c r="VM352" s="47"/>
      <c r="VN352" s="47"/>
      <c r="VO352" s="47"/>
      <c r="VP352" s="47"/>
      <c r="VQ352" s="47"/>
      <c r="VR352" s="47"/>
      <c r="VS352" s="47"/>
      <c r="VT352" s="47"/>
      <c r="VU352" s="47"/>
      <c r="VV352" s="47"/>
      <c r="VW352" s="47"/>
      <c r="VX352" s="47"/>
      <c r="VY352" s="47"/>
      <c r="VZ352" s="47"/>
      <c r="WA352" s="47"/>
      <c r="WB352" s="47"/>
      <c r="WC352" s="47"/>
      <c r="WD352" s="47"/>
      <c r="WE352" s="47"/>
      <c r="WF352" s="47"/>
      <c r="WG352" s="47"/>
      <c r="WH352" s="47"/>
      <c r="WI352" s="47"/>
      <c r="WJ352" s="47"/>
      <c r="WK352" s="47"/>
      <c r="WL352" s="47"/>
      <c r="WM352" s="47"/>
      <c r="WN352" s="47"/>
      <c r="WO352" s="47"/>
      <c r="WP352" s="47"/>
      <c r="WQ352" s="47"/>
      <c r="WR352" s="47"/>
      <c r="WS352" s="47"/>
      <c r="WT352" s="47"/>
      <c r="WU352" s="47"/>
      <c r="WV352" s="47"/>
      <c r="WW352" s="47"/>
      <c r="WX352" s="47"/>
      <c r="WY352" s="47"/>
      <c r="WZ352" s="47"/>
      <c r="XA352" s="47"/>
      <c r="XB352" s="47"/>
      <c r="XC352" s="47"/>
      <c r="XD352" s="47"/>
      <c r="XE352" s="47"/>
      <c r="XF352" s="47"/>
      <c r="XG352" s="47"/>
      <c r="XH352" s="47"/>
      <c r="XI352" s="47"/>
      <c r="XJ352" s="47"/>
      <c r="XK352" s="47"/>
      <c r="XL352" s="47"/>
      <c r="XM352" s="47"/>
      <c r="XN352" s="47"/>
      <c r="XO352" s="47"/>
      <c r="XP352" s="47"/>
      <c r="XQ352" s="47"/>
      <c r="XR352" s="47"/>
      <c r="XS352" s="47"/>
      <c r="XT352" s="47"/>
      <c r="XU352" s="47"/>
      <c r="XV352" s="47"/>
      <c r="XW352" s="47"/>
      <c r="XX352" s="47"/>
      <c r="XY352" s="47"/>
      <c r="XZ352" s="47"/>
      <c r="YA352" s="47"/>
      <c r="YB352" s="47"/>
      <c r="YC352" s="47"/>
      <c r="YD352" s="47"/>
      <c r="YE352" s="47"/>
      <c r="YF352" s="47"/>
      <c r="YG352" s="47"/>
      <c r="YH352" s="47"/>
      <c r="YI352" s="47"/>
      <c r="YJ352" s="47"/>
      <c r="YK352" s="47"/>
      <c r="YL352" s="47"/>
      <c r="YM352" s="47"/>
      <c r="YN352" s="47"/>
      <c r="YO352" s="47"/>
      <c r="YP352" s="47"/>
      <c r="YQ352" s="47"/>
      <c r="YR352" s="47"/>
      <c r="YS352" s="47"/>
      <c r="YT352" s="47"/>
      <c r="YU352" s="47"/>
      <c r="YV352" s="47"/>
      <c r="YW352" s="47"/>
      <c r="YX352" s="47"/>
      <c r="YY352" s="47"/>
      <c r="YZ352" s="47"/>
      <c r="ZA352" s="47"/>
      <c r="ZB352" s="47"/>
      <c r="ZC352" s="47"/>
      <c r="ZD352" s="47"/>
      <c r="ZE352" s="47"/>
      <c r="ZF352" s="47"/>
      <c r="ZG352" s="47"/>
      <c r="ZH352" s="47"/>
      <c r="ZI352" s="47"/>
      <c r="ZJ352" s="47"/>
      <c r="ZK352" s="47"/>
      <c r="ZL352" s="47"/>
      <c r="ZM352" s="47"/>
      <c r="ZN352" s="47"/>
      <c r="ZO352" s="47"/>
      <c r="ZP352" s="47"/>
      <c r="ZQ352" s="47"/>
      <c r="ZR352" s="47"/>
      <c r="ZS352" s="47"/>
      <c r="ZT352" s="47"/>
      <c r="ZU352" s="47"/>
      <c r="ZV352" s="47"/>
      <c r="ZW352" s="47"/>
      <c r="ZX352" s="47"/>
      <c r="ZY352" s="50"/>
      <c r="ZZ352" s="50"/>
      <c r="AAA352" s="590"/>
      <c r="AAD352" s="113"/>
      <c r="AAE352" s="553">
        <f t="shared" si="951"/>
        <v>1</v>
      </c>
      <c r="AAF352" s="113"/>
      <c r="AAG352" s="78">
        <f>G346</f>
        <v>41450</v>
      </c>
      <c r="AAH352" s="78">
        <f>G352</f>
        <v>41450</v>
      </c>
      <c r="AAI352" s="77"/>
      <c r="AAJ352" s="77"/>
      <c r="AAK352" s="77"/>
      <c r="AAL352" s="56"/>
      <c r="AAM352" s="113"/>
      <c r="AAN352"/>
      <c r="AAT352" s="23"/>
      <c r="AAU352" s="44"/>
    </row>
    <row r="353" spans="1:723" ht="15" customHeight="1" outlineLevel="1">
      <c r="A353" s="560"/>
      <c r="B353" s="445" t="s">
        <v>86</v>
      </c>
      <c r="C353" s="298"/>
      <c r="D353" s="280" t="s">
        <v>167</v>
      </c>
      <c r="E353" s="369">
        <f t="shared" si="952"/>
        <v>1</v>
      </c>
      <c r="F353" s="493">
        <f t="shared" ca="1" si="953"/>
        <v>50</v>
      </c>
      <c r="G353" s="450">
        <f t="shared" ref="G353:H356" si="954">AAG353</f>
        <v>41450</v>
      </c>
      <c r="H353" s="450">
        <f t="shared" si="954"/>
        <v>41450</v>
      </c>
      <c r="I353" s="629"/>
      <c r="J353" s="594"/>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50"/>
      <c r="DR353" s="50"/>
      <c r="DS353" s="50"/>
      <c r="DT353" s="50"/>
      <c r="DU353" s="50"/>
      <c r="DV353" s="50"/>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50"/>
      <c r="GD353" s="50"/>
      <c r="GE353" s="50"/>
      <c r="GF353" s="50"/>
      <c r="GG353" s="50"/>
      <c r="GH353" s="50"/>
      <c r="GI353" s="50"/>
      <c r="GJ353" s="50"/>
      <c r="GK353" s="50"/>
      <c r="GL353" s="50"/>
      <c r="GM353" s="50"/>
      <c r="GN353" s="50"/>
      <c r="GO353" s="50"/>
      <c r="GP353" s="50"/>
      <c r="GQ353" s="50"/>
      <c r="GR353" s="50"/>
      <c r="GS353" s="50"/>
      <c r="GT353" s="50"/>
      <c r="GU353" s="50"/>
      <c r="GV353" s="50"/>
      <c r="GW353" s="50"/>
      <c r="GX353" s="50"/>
      <c r="GY353" s="50"/>
      <c r="GZ353" s="50"/>
      <c r="HA353" s="50"/>
      <c r="HB353" s="50"/>
      <c r="HC353" s="50"/>
      <c r="HD353" s="50"/>
      <c r="HE353" s="50"/>
      <c r="HF353" s="50"/>
      <c r="HG353" s="50"/>
      <c r="HH353" s="50"/>
      <c r="HI353" s="50"/>
      <c r="HJ353" s="50"/>
      <c r="HK353" s="50"/>
      <c r="HL353" s="50"/>
      <c r="HM353" s="50"/>
      <c r="HN353" s="50"/>
      <c r="HO353" s="50"/>
      <c r="HP353" s="50"/>
      <c r="HQ353" s="50"/>
      <c r="HR353" s="50"/>
      <c r="HS353" s="50"/>
      <c r="HT353" s="50"/>
      <c r="HU353" s="50"/>
      <c r="HV353" s="50"/>
      <c r="HW353" s="50"/>
      <c r="HX353" s="50"/>
      <c r="HY353" s="50"/>
      <c r="HZ353" s="50"/>
      <c r="IA353" s="50"/>
      <c r="IB353" s="50"/>
      <c r="IC353" s="50"/>
      <c r="ID353" s="50"/>
      <c r="IE353" s="50"/>
      <c r="IF353" s="50"/>
      <c r="IG353" s="50"/>
      <c r="IH353" s="50"/>
      <c r="II353" s="50"/>
      <c r="IJ353" s="50"/>
      <c r="IK353" s="50"/>
      <c r="IL353" s="50"/>
      <c r="IM353" s="50"/>
      <c r="IN353" s="50"/>
      <c r="IO353" s="50"/>
      <c r="IP353" s="50"/>
      <c r="IQ353" s="50"/>
      <c r="IR353" s="50"/>
      <c r="IS353" s="50"/>
      <c r="IT353" s="50"/>
      <c r="IU353" s="50"/>
      <c r="IV353" s="50"/>
      <c r="IW353" s="50"/>
      <c r="IX353" s="50"/>
      <c r="IY353" s="50"/>
      <c r="IZ353" s="50"/>
      <c r="JA353" s="50"/>
      <c r="JB353" s="50"/>
      <c r="JC353" s="50"/>
      <c r="JD353" s="50"/>
      <c r="JE353" s="50"/>
      <c r="JF353" s="50"/>
      <c r="JG353" s="50"/>
      <c r="JH353" s="50"/>
      <c r="JI353" s="50"/>
      <c r="JJ353" s="50"/>
      <c r="JK353" s="50"/>
      <c r="JL353" s="50"/>
      <c r="JM353" s="50"/>
      <c r="JN353" s="50"/>
      <c r="JO353" s="50"/>
      <c r="JP353" s="50"/>
      <c r="JQ353" s="50"/>
      <c r="JR353" s="50"/>
      <c r="JS353" s="50"/>
      <c r="JT353" s="50"/>
      <c r="JU353" s="50"/>
      <c r="JV353" s="50"/>
      <c r="JW353" s="50"/>
      <c r="JX353" s="50"/>
      <c r="JY353" s="50"/>
      <c r="JZ353" s="50"/>
      <c r="KA353" s="50"/>
      <c r="KB353" s="50"/>
      <c r="KC353" s="50"/>
      <c r="KD353" s="50"/>
      <c r="KE353" s="50"/>
      <c r="KF353" s="50"/>
      <c r="KG353" s="50"/>
      <c r="KH353" s="50"/>
      <c r="KI353" s="50"/>
      <c r="KJ353" s="50"/>
      <c r="KK353" s="50"/>
      <c r="KL353" s="50"/>
      <c r="KM353" s="50"/>
      <c r="KN353" s="50"/>
      <c r="KO353" s="50"/>
      <c r="KP353" s="50"/>
      <c r="KQ353" s="50"/>
      <c r="KR353" s="50"/>
      <c r="KS353" s="50"/>
      <c r="KT353" s="50"/>
      <c r="KU353" s="50"/>
      <c r="KV353" s="50"/>
      <c r="KW353" s="50"/>
      <c r="KX353" s="50"/>
      <c r="KY353" s="50"/>
      <c r="KZ353" s="50"/>
      <c r="LA353" s="50"/>
      <c r="LB353" s="50"/>
      <c r="LC353" s="50"/>
      <c r="LD353" s="50"/>
      <c r="LE353" s="50"/>
      <c r="LF353" s="50"/>
      <c r="LG353" s="50"/>
      <c r="LH353" s="50"/>
      <c r="LI353" s="50"/>
      <c r="LJ353" s="50"/>
      <c r="LK353" s="50"/>
      <c r="LL353" s="50"/>
      <c r="LM353" s="50"/>
      <c r="LN353" s="50"/>
      <c r="LO353" s="50"/>
      <c r="LP353" s="50"/>
      <c r="LQ353" s="50"/>
      <c r="LR353" s="50"/>
      <c r="LS353" s="50"/>
      <c r="LT353" s="50"/>
      <c r="LU353" s="50"/>
      <c r="LV353" s="50"/>
      <c r="LW353" s="50"/>
      <c r="LX353" s="50"/>
      <c r="LY353" s="50"/>
      <c r="LZ353" s="50"/>
      <c r="MA353" s="50"/>
      <c r="MB353" s="50"/>
      <c r="MC353" s="50"/>
      <c r="MD353" s="50"/>
      <c r="ME353" s="50"/>
      <c r="MF353" s="50"/>
      <c r="MG353" s="50"/>
      <c r="MH353" s="50"/>
      <c r="MI353" s="50"/>
      <c r="MJ353" s="50"/>
      <c r="MK353" s="50"/>
      <c r="ML353" s="50"/>
      <c r="MM353" s="50"/>
      <c r="MN353" s="50"/>
      <c r="MO353" s="50"/>
      <c r="MP353" s="50"/>
      <c r="MQ353" s="50"/>
      <c r="MR353" s="50"/>
      <c r="MS353" s="50"/>
      <c r="MT353" s="50"/>
      <c r="MU353" s="50"/>
      <c r="MV353" s="50"/>
      <c r="MW353" s="50"/>
      <c r="MX353" s="50"/>
      <c r="MY353" s="50"/>
      <c r="MZ353" s="50"/>
      <c r="NA353" s="50"/>
      <c r="NB353" s="50"/>
      <c r="NC353" s="50"/>
      <c r="ND353" s="50"/>
      <c r="NE353" s="50"/>
      <c r="NF353" s="50"/>
      <c r="NG353" s="50"/>
      <c r="NH353" s="50"/>
      <c r="NI353" s="50"/>
      <c r="NJ353" s="50"/>
      <c r="NK353" s="50"/>
      <c r="NL353" s="50"/>
      <c r="NM353" s="50"/>
      <c r="NN353" s="50"/>
      <c r="NO353" s="50"/>
      <c r="NP353" s="50"/>
      <c r="NQ353" s="50"/>
      <c r="NR353" s="50"/>
      <c r="NS353" s="50"/>
      <c r="NT353" s="50"/>
      <c r="NU353" s="50"/>
      <c r="NV353" s="50"/>
      <c r="NW353" s="50"/>
      <c r="NX353" s="50"/>
      <c r="NY353" s="50"/>
      <c r="NZ353" s="50"/>
      <c r="OA353" s="50"/>
      <c r="OB353" s="50"/>
      <c r="OC353" s="50"/>
      <c r="OD353" s="50"/>
      <c r="OE353" s="50"/>
      <c r="OF353" s="50"/>
      <c r="OG353" s="50"/>
      <c r="OH353" s="50"/>
      <c r="OI353" s="50"/>
      <c r="OJ353" s="50"/>
      <c r="OK353" s="50"/>
      <c r="OL353" s="50"/>
      <c r="OM353" s="50"/>
      <c r="ON353" s="50"/>
      <c r="OO353" s="50"/>
      <c r="OP353" s="50"/>
      <c r="OQ353" s="50"/>
      <c r="OR353" s="50"/>
      <c r="OS353" s="50"/>
      <c r="OT353" s="50"/>
      <c r="OU353" s="50"/>
      <c r="OV353" s="50"/>
      <c r="OW353" s="50"/>
      <c r="OX353" s="50"/>
      <c r="OY353" s="50"/>
      <c r="OZ353" s="50"/>
      <c r="PA353" s="50"/>
      <c r="PB353" s="50"/>
      <c r="PC353" s="50"/>
      <c r="PD353" s="50"/>
      <c r="PE353" s="50"/>
      <c r="PF353" s="50"/>
      <c r="PG353" s="50"/>
      <c r="PH353" s="50"/>
      <c r="PI353" s="50"/>
      <c r="PJ353" s="50"/>
      <c r="PK353" s="50"/>
      <c r="PL353" s="50"/>
      <c r="PM353" s="50"/>
      <c r="PN353" s="50"/>
      <c r="PO353" s="50"/>
      <c r="PP353" s="50"/>
      <c r="PQ353" s="50"/>
      <c r="PR353" s="50"/>
      <c r="PS353" s="50"/>
      <c r="PT353" s="50"/>
      <c r="PU353" s="50"/>
      <c r="PV353" s="50"/>
      <c r="PW353" s="50"/>
      <c r="PX353" s="50"/>
      <c r="PY353" s="50"/>
      <c r="PZ353" s="50"/>
      <c r="QA353" s="50"/>
      <c r="QB353" s="50"/>
      <c r="QC353" s="50"/>
      <c r="QD353" s="50"/>
      <c r="QE353" s="50"/>
      <c r="QF353" s="50"/>
      <c r="QG353" s="50"/>
      <c r="QH353" s="50"/>
      <c r="QI353" s="50"/>
      <c r="QJ353" s="50"/>
      <c r="QK353" s="50"/>
      <c r="QL353" s="50"/>
      <c r="QM353" s="50"/>
      <c r="QN353" s="50"/>
      <c r="QO353" s="50"/>
      <c r="QP353" s="50"/>
      <c r="QQ353" s="50"/>
      <c r="QR353" s="50"/>
      <c r="QS353" s="50"/>
      <c r="QT353" s="50"/>
      <c r="QU353" s="50"/>
      <c r="QV353" s="50"/>
      <c r="QW353" s="50"/>
      <c r="QX353" s="50"/>
      <c r="QY353" s="50"/>
      <c r="QZ353" s="50"/>
      <c r="RA353" s="50"/>
      <c r="RB353" s="50"/>
      <c r="RC353" s="50"/>
      <c r="RD353" s="50"/>
      <c r="RE353" s="50"/>
      <c r="RF353" s="50"/>
      <c r="RG353" s="50"/>
      <c r="RH353" s="50"/>
      <c r="RI353" s="50"/>
      <c r="RJ353" s="50"/>
      <c r="RK353" s="50"/>
      <c r="RL353" s="50"/>
      <c r="RM353" s="50"/>
      <c r="RN353" s="50"/>
      <c r="RO353" s="50"/>
      <c r="RP353" s="50"/>
      <c r="RQ353" s="50"/>
      <c r="RR353" s="50"/>
      <c r="RS353" s="50"/>
      <c r="RT353" s="50"/>
      <c r="RU353" s="50"/>
      <c r="RV353" s="50"/>
      <c r="RW353" s="50"/>
      <c r="RX353" s="50"/>
      <c r="RY353" s="50"/>
      <c r="RZ353" s="50"/>
      <c r="SA353" s="50"/>
      <c r="SB353" s="50"/>
      <c r="SC353" s="50"/>
      <c r="SD353" s="50"/>
      <c r="SE353" s="50"/>
      <c r="SF353" s="50"/>
      <c r="SG353" s="50"/>
      <c r="SH353" s="50"/>
      <c r="SI353" s="50"/>
      <c r="SJ353" s="50"/>
      <c r="SK353" s="50"/>
      <c r="SL353" s="50"/>
      <c r="SM353" s="50"/>
      <c r="SN353" s="50"/>
      <c r="SO353" s="50"/>
      <c r="SP353" s="50"/>
      <c r="SQ353" s="50"/>
      <c r="SR353" s="50"/>
      <c r="SS353" s="50"/>
      <c r="ST353" s="50"/>
      <c r="SU353" s="50"/>
      <c r="SV353" s="50"/>
      <c r="SW353" s="50"/>
      <c r="SX353" s="50"/>
      <c r="SY353" s="50"/>
      <c r="SZ353" s="50"/>
      <c r="TA353" s="50"/>
      <c r="TB353" s="50"/>
      <c r="TC353" s="50"/>
      <c r="TD353" s="50"/>
      <c r="TE353" s="50"/>
      <c r="TF353" s="50"/>
      <c r="TG353" s="50"/>
      <c r="TH353" s="50"/>
      <c r="TI353" s="50"/>
      <c r="TJ353" s="50"/>
      <c r="TK353" s="50"/>
      <c r="TL353" s="50"/>
      <c r="TM353" s="50"/>
      <c r="TN353" s="50"/>
      <c r="TO353" s="50"/>
      <c r="TP353" s="50"/>
      <c r="TQ353" s="50"/>
      <c r="TR353" s="50"/>
      <c r="TS353" s="50"/>
      <c r="TT353" s="50"/>
      <c r="TU353" s="50"/>
      <c r="TV353" s="50"/>
      <c r="TW353" s="50"/>
      <c r="TX353" s="50"/>
      <c r="TY353" s="50"/>
      <c r="TZ353" s="50"/>
      <c r="UA353" s="50"/>
      <c r="UB353" s="50"/>
      <c r="UC353" s="50"/>
      <c r="UD353" s="50"/>
      <c r="UE353" s="50"/>
      <c r="UF353" s="50"/>
      <c r="UG353" s="50"/>
      <c r="UH353" s="50"/>
      <c r="UI353" s="50"/>
      <c r="UJ353" s="50"/>
      <c r="UK353" s="50"/>
      <c r="UL353" s="50"/>
      <c r="UM353" s="50"/>
      <c r="UN353" s="50"/>
      <c r="UO353" s="50"/>
      <c r="UP353" s="50"/>
      <c r="UQ353" s="50"/>
      <c r="UR353" s="50"/>
      <c r="US353" s="50"/>
      <c r="UT353" s="50"/>
      <c r="UU353" s="50"/>
      <c r="UV353" s="50"/>
      <c r="UW353" s="50"/>
      <c r="UX353" s="50"/>
      <c r="UY353" s="50"/>
      <c r="UZ353" s="50"/>
      <c r="VA353" s="50"/>
      <c r="VB353" s="50"/>
      <c r="VC353" s="50"/>
      <c r="VD353" s="50"/>
      <c r="VE353" s="50"/>
      <c r="VF353" s="50"/>
      <c r="VG353" s="50"/>
      <c r="VH353" s="50"/>
      <c r="VI353" s="50"/>
      <c r="VJ353" s="50"/>
      <c r="VK353" s="50"/>
      <c r="VL353" s="50"/>
      <c r="VM353" s="50"/>
      <c r="VN353" s="50"/>
      <c r="VO353" s="50"/>
      <c r="VP353" s="50"/>
      <c r="VQ353" s="50"/>
      <c r="VR353" s="50"/>
      <c r="VS353" s="50"/>
      <c r="VT353" s="50"/>
      <c r="VU353" s="50"/>
      <c r="VV353" s="50"/>
      <c r="VW353" s="50"/>
      <c r="VX353" s="50"/>
      <c r="VY353" s="50"/>
      <c r="VZ353" s="50"/>
      <c r="WA353" s="50"/>
      <c r="WB353" s="50"/>
      <c r="WC353" s="50"/>
      <c r="WD353" s="50"/>
      <c r="WE353" s="50"/>
      <c r="WF353" s="50"/>
      <c r="WG353" s="50"/>
      <c r="WH353" s="50"/>
      <c r="WI353" s="50"/>
      <c r="WJ353" s="50"/>
      <c r="WK353" s="50"/>
      <c r="WL353" s="50"/>
      <c r="WM353" s="50"/>
      <c r="WN353" s="50"/>
      <c r="WO353" s="50"/>
      <c r="WP353" s="50"/>
      <c r="WQ353" s="50"/>
      <c r="WR353" s="50"/>
      <c r="WS353" s="50"/>
      <c r="WT353" s="50"/>
      <c r="WU353" s="50"/>
      <c r="WV353" s="50"/>
      <c r="WW353" s="50"/>
      <c r="WX353" s="50"/>
      <c r="WY353" s="50"/>
      <c r="WZ353" s="50"/>
      <c r="XA353" s="50"/>
      <c r="XB353" s="50"/>
      <c r="XC353" s="50"/>
      <c r="XD353" s="50"/>
      <c r="XE353" s="50"/>
      <c r="XF353" s="50"/>
      <c r="XG353" s="50"/>
      <c r="XH353" s="50"/>
      <c r="XI353" s="50"/>
      <c r="XJ353" s="50"/>
      <c r="XK353" s="50"/>
      <c r="XL353" s="50"/>
      <c r="XM353" s="50"/>
      <c r="XN353" s="50"/>
      <c r="XO353" s="50"/>
      <c r="XP353" s="50"/>
      <c r="XQ353" s="50"/>
      <c r="XR353" s="50"/>
      <c r="XS353" s="50"/>
      <c r="XT353" s="50"/>
      <c r="XU353" s="50"/>
      <c r="XV353" s="50"/>
      <c r="XW353" s="50"/>
      <c r="XX353" s="50"/>
      <c r="XY353" s="50"/>
      <c r="XZ353" s="50"/>
      <c r="YA353" s="50"/>
      <c r="YB353" s="50"/>
      <c r="YC353" s="50"/>
      <c r="YD353" s="50"/>
      <c r="YE353" s="50"/>
      <c r="YF353" s="50"/>
      <c r="YG353" s="50"/>
      <c r="YH353" s="50"/>
      <c r="YI353" s="50"/>
      <c r="YJ353" s="50"/>
      <c r="YK353" s="50"/>
      <c r="YL353" s="50"/>
      <c r="YM353" s="50"/>
      <c r="YN353" s="50"/>
      <c r="YO353" s="50"/>
      <c r="YP353" s="50"/>
      <c r="YQ353" s="50"/>
      <c r="YR353" s="50"/>
      <c r="YS353" s="50"/>
      <c r="YT353" s="50"/>
      <c r="YU353" s="50"/>
      <c r="YV353" s="50"/>
      <c r="YW353" s="50"/>
      <c r="YX353" s="50"/>
      <c r="YY353" s="50"/>
      <c r="YZ353" s="50"/>
      <c r="ZA353" s="50"/>
      <c r="ZB353" s="50"/>
      <c r="ZC353" s="50"/>
      <c r="ZD353" s="50"/>
      <c r="ZE353" s="50"/>
      <c r="ZF353" s="50"/>
      <c r="ZG353" s="50"/>
      <c r="ZH353" s="50"/>
      <c r="ZI353" s="50"/>
      <c r="ZJ353" s="50"/>
      <c r="ZK353" s="50"/>
      <c r="ZL353" s="50"/>
      <c r="ZM353" s="50"/>
      <c r="ZN353" s="50"/>
      <c r="ZO353" s="50"/>
      <c r="ZP353" s="50"/>
      <c r="ZQ353" s="50"/>
      <c r="ZR353" s="50"/>
      <c r="ZS353" s="50"/>
      <c r="ZT353" s="50"/>
      <c r="ZU353" s="50"/>
      <c r="ZV353" s="50"/>
      <c r="ZW353" s="50"/>
      <c r="ZX353" s="50"/>
      <c r="ZY353" s="50"/>
      <c r="ZZ353" s="50"/>
      <c r="AAA353" s="590"/>
      <c r="AAD353" s="113"/>
      <c r="AAE353" s="553">
        <f t="shared" si="951"/>
        <v>1</v>
      </c>
      <c r="AAF353" s="113"/>
      <c r="AAG353" s="78">
        <f t="shared" ref="AAG353:AAG356" si="955">H352</f>
        <v>41450</v>
      </c>
      <c r="AAH353" s="78">
        <f t="shared" ref="AAH353:AAH356" si="956">G353</f>
        <v>41450</v>
      </c>
      <c r="AAI353" s="77"/>
      <c r="AAJ353" s="77"/>
      <c r="AAK353" s="77"/>
      <c r="AAL353" s="57"/>
      <c r="AAM353" s="113"/>
      <c r="AAN353"/>
      <c r="AAT353" s="23"/>
      <c r="AAU353" s="44"/>
    </row>
    <row r="354" spans="1:723" ht="15" customHeight="1" outlineLevel="1">
      <c r="A354" s="560"/>
      <c r="B354" s="446" t="s">
        <v>87</v>
      </c>
      <c r="C354" s="298"/>
      <c r="D354" s="280" t="s">
        <v>167</v>
      </c>
      <c r="E354" s="369">
        <f t="shared" si="952"/>
        <v>1</v>
      </c>
      <c r="F354" s="493">
        <f t="shared" ca="1" si="953"/>
        <v>50</v>
      </c>
      <c r="G354" s="450">
        <f t="shared" si="954"/>
        <v>41450</v>
      </c>
      <c r="H354" s="450">
        <f t="shared" si="954"/>
        <v>41450</v>
      </c>
      <c r="I354" s="629"/>
      <c r="J354" s="594"/>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90"/>
      <c r="AAD354" s="113"/>
      <c r="AAE354" s="553">
        <f t="shared" si="951"/>
        <v>1</v>
      </c>
      <c r="AAF354" s="113"/>
      <c r="AAG354" s="78">
        <f t="shared" si="955"/>
        <v>41450</v>
      </c>
      <c r="AAH354" s="78">
        <f t="shared" si="956"/>
        <v>41450</v>
      </c>
      <c r="AAI354" s="77"/>
      <c r="AAJ354" s="77"/>
      <c r="AAK354" s="77"/>
      <c r="AAL354" s="57"/>
      <c r="AAM354" s="113"/>
      <c r="AAN354"/>
      <c r="AAT354" s="23"/>
      <c r="AAU354" s="44"/>
    </row>
    <row r="355" spans="1:723" ht="15" customHeight="1" outlineLevel="1">
      <c r="A355" s="560"/>
      <c r="B355" s="447" t="s">
        <v>88</v>
      </c>
      <c r="C355" s="298"/>
      <c r="D355" s="280" t="s">
        <v>167</v>
      </c>
      <c r="E355" s="369">
        <f t="shared" si="952"/>
        <v>1</v>
      </c>
      <c r="F355" s="493">
        <f t="shared" ca="1" si="953"/>
        <v>50</v>
      </c>
      <c r="G355" s="450">
        <f t="shared" si="954"/>
        <v>41450</v>
      </c>
      <c r="H355" s="450">
        <f t="shared" si="954"/>
        <v>41450</v>
      </c>
      <c r="I355" s="629"/>
      <c r="J355" s="594"/>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90"/>
      <c r="AAD355" s="113"/>
      <c r="AAE355" s="553">
        <f t="shared" si="951"/>
        <v>1</v>
      </c>
      <c r="AAF355" s="113"/>
      <c r="AAG355" s="78">
        <f t="shared" si="955"/>
        <v>41450</v>
      </c>
      <c r="AAH355" s="78">
        <f t="shared" si="956"/>
        <v>41450</v>
      </c>
      <c r="AAI355" s="77"/>
      <c r="AAJ355" s="77"/>
      <c r="AAK355" s="77"/>
      <c r="AAL355" s="57"/>
      <c r="AAM355" s="113"/>
      <c r="AAN355"/>
      <c r="AAT355" s="23"/>
      <c r="AAU355" s="44"/>
    </row>
    <row r="356" spans="1:723" ht="15" customHeight="1" outlineLevel="1">
      <c r="A356" s="560"/>
      <c r="B356" s="448" t="s">
        <v>89</v>
      </c>
      <c r="C356" s="298"/>
      <c r="D356" s="280" t="s">
        <v>167</v>
      </c>
      <c r="E356" s="369">
        <f t="shared" si="952"/>
        <v>1</v>
      </c>
      <c r="F356" s="493">
        <f t="shared" ca="1" si="953"/>
        <v>50</v>
      </c>
      <c r="G356" s="450">
        <f t="shared" si="954"/>
        <v>41450</v>
      </c>
      <c r="H356" s="450">
        <f t="shared" si="954"/>
        <v>41450</v>
      </c>
      <c r="I356" s="629"/>
      <c r="J356" s="594"/>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90"/>
      <c r="AAD356" s="113"/>
      <c r="AAE356" s="553">
        <f t="shared" si="951"/>
        <v>1</v>
      </c>
      <c r="AAF356" s="113"/>
      <c r="AAG356" s="78">
        <f t="shared" si="955"/>
        <v>41450</v>
      </c>
      <c r="AAH356" s="78">
        <f t="shared" si="956"/>
        <v>41450</v>
      </c>
      <c r="AAI356" s="77"/>
      <c r="AAJ356" s="77"/>
      <c r="AAK356" s="77"/>
      <c r="AAL356" s="57"/>
      <c r="AAM356" s="113"/>
      <c r="AAN356"/>
      <c r="AAT356" s="23"/>
      <c r="AAU356" s="44"/>
    </row>
    <row r="357" spans="1:723" ht="87.75" customHeight="1" outlineLevel="1">
      <c r="A357" s="560"/>
      <c r="B357" s="747" t="s">
        <v>378</v>
      </c>
      <c r="C357" s="747"/>
      <c r="D357" s="747"/>
      <c r="E357" s="747"/>
      <c r="F357" s="747"/>
      <c r="G357" s="747"/>
      <c r="H357" s="747"/>
      <c r="I357" s="590"/>
      <c r="J357" s="594"/>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620"/>
      <c r="ZZ357" s="36"/>
      <c r="AAA357" s="590"/>
      <c r="AAD357" s="113"/>
      <c r="AAE357" s="553">
        <f t="shared" si="951"/>
        <v>1</v>
      </c>
      <c r="AAF357" s="585" t="s">
        <v>199</v>
      </c>
      <c r="AAG357" s="63"/>
      <c r="AAH357" s="63"/>
      <c r="AAI357" s="77"/>
      <c r="AAJ357" s="77"/>
      <c r="AAK357" s="77"/>
      <c r="AAL357" s="57"/>
      <c r="AAM357" s="113"/>
      <c r="AAN357"/>
      <c r="AAT357" s="23"/>
      <c r="AAU357" s="44"/>
    </row>
    <row r="358" spans="1:723" ht="15" customHeight="1" outlineLevel="1">
      <c r="A358" s="560"/>
      <c r="B358" s="458" t="s">
        <v>23</v>
      </c>
      <c r="C358" s="726"/>
      <c r="D358" s="198"/>
      <c r="E358" s="124"/>
      <c r="F358" s="125"/>
      <c r="G358" s="197"/>
      <c r="H358" s="197"/>
      <c r="I358" s="590"/>
      <c r="J358" s="593"/>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47"/>
      <c r="DX358" s="47"/>
      <c r="DY358" s="47"/>
      <c r="DZ358" s="47"/>
      <c r="EA358" s="47"/>
      <c r="EB358" s="47"/>
      <c r="EC358" s="47"/>
      <c r="ED358" s="47"/>
      <c r="EE358" s="47"/>
      <c r="EF358" s="47"/>
      <c r="EG358" s="47"/>
      <c r="EH358" s="47"/>
      <c r="EI358" s="47"/>
      <c r="EJ358" s="47"/>
      <c r="EK358" s="47"/>
      <c r="EL358" s="47"/>
      <c r="EM358" s="47"/>
      <c r="EN358" s="47"/>
      <c r="EO358" s="47"/>
      <c r="EP358" s="47"/>
      <c r="EQ358" s="47"/>
      <c r="ER358" s="47"/>
      <c r="ES358" s="47"/>
      <c r="ET358" s="47"/>
      <c r="EU358" s="47"/>
      <c r="EV358" s="47"/>
      <c r="EW358" s="47"/>
      <c r="EX358" s="47"/>
      <c r="EY358" s="47"/>
      <c r="EZ358" s="47"/>
      <c r="FA358" s="47"/>
      <c r="FB358" s="47"/>
      <c r="FC358" s="47"/>
      <c r="FD358" s="47"/>
      <c r="FE358" s="47"/>
      <c r="FF358" s="47"/>
      <c r="FG358" s="47"/>
      <c r="FH358" s="47"/>
      <c r="FI358" s="47"/>
      <c r="FJ358" s="47"/>
      <c r="FK358" s="47"/>
      <c r="FL358" s="47"/>
      <c r="FM358" s="47"/>
      <c r="FN358" s="47"/>
      <c r="FO358" s="47"/>
      <c r="FP358" s="47"/>
      <c r="FQ358" s="47"/>
      <c r="FR358" s="47"/>
      <c r="FS358" s="47"/>
      <c r="FT358" s="47"/>
      <c r="FU358" s="47"/>
      <c r="FV358" s="47"/>
      <c r="FW358" s="47"/>
      <c r="FX358" s="47"/>
      <c r="FY358" s="47"/>
      <c r="FZ358" s="47"/>
      <c r="GA358" s="47"/>
      <c r="GB358" s="47"/>
      <c r="GC358" s="47"/>
      <c r="GD358" s="47"/>
      <c r="GE358" s="47"/>
      <c r="GF358" s="47"/>
      <c r="GG358" s="47"/>
      <c r="GH358" s="47"/>
      <c r="GI358" s="47"/>
      <c r="GJ358" s="47"/>
      <c r="GK358" s="47"/>
      <c r="GL358" s="47"/>
      <c r="GM358" s="47"/>
      <c r="GN358" s="47"/>
      <c r="GO358" s="47"/>
      <c r="GP358" s="47"/>
      <c r="GQ358" s="47"/>
      <c r="GR358" s="47"/>
      <c r="GS358" s="47"/>
      <c r="GT358" s="47"/>
      <c r="GU358" s="47"/>
      <c r="GV358" s="47"/>
      <c r="GW358" s="47"/>
      <c r="GX358" s="47"/>
      <c r="GY358" s="47"/>
      <c r="GZ358" s="47"/>
      <c r="HA358" s="47"/>
      <c r="HB358" s="47"/>
      <c r="HC358" s="47"/>
      <c r="HD358" s="47"/>
      <c r="HE358" s="47"/>
      <c r="HF358" s="47"/>
      <c r="HG358" s="47"/>
      <c r="HH358" s="47"/>
      <c r="HI358" s="47"/>
      <c r="HJ358" s="47"/>
      <c r="HK358" s="47"/>
      <c r="HL358" s="47"/>
      <c r="HM358" s="47"/>
      <c r="HN358" s="47"/>
      <c r="HO358" s="47"/>
      <c r="HP358" s="47"/>
      <c r="HQ358" s="47"/>
      <c r="HR358" s="47"/>
      <c r="HS358" s="47"/>
      <c r="HT358" s="47"/>
      <c r="HU358" s="47"/>
      <c r="HV358" s="47"/>
      <c r="HW358" s="47"/>
      <c r="HX358" s="47"/>
      <c r="HY358" s="47"/>
      <c r="HZ358" s="47"/>
      <c r="IA358" s="47"/>
      <c r="IB358" s="47"/>
      <c r="IC358" s="47"/>
      <c r="ID358" s="47"/>
      <c r="IE358" s="47"/>
      <c r="IF358" s="47"/>
      <c r="IG358" s="47"/>
      <c r="IH358" s="47"/>
      <c r="II358" s="47"/>
      <c r="IJ358" s="47"/>
      <c r="IK358" s="47"/>
      <c r="IL358" s="47"/>
      <c r="IM358" s="47"/>
      <c r="IN358" s="47"/>
      <c r="IO358" s="47"/>
      <c r="IP358" s="47"/>
      <c r="IQ358" s="47"/>
      <c r="IR358" s="47"/>
      <c r="IS358" s="47"/>
      <c r="IT358" s="47"/>
      <c r="IU358" s="47"/>
      <c r="IV358" s="47"/>
      <c r="IW358" s="47"/>
      <c r="IX358" s="47"/>
      <c r="IY358" s="47"/>
      <c r="IZ358" s="47"/>
      <c r="JA358" s="47"/>
      <c r="JB358" s="47"/>
      <c r="JC358" s="47"/>
      <c r="JD358" s="47"/>
      <c r="JE358" s="47"/>
      <c r="JF358" s="47"/>
      <c r="JG358" s="47"/>
      <c r="JH358" s="47"/>
      <c r="JI358" s="47"/>
      <c r="JJ358" s="47"/>
      <c r="JK358" s="47"/>
      <c r="JL358" s="47"/>
      <c r="JM358" s="47"/>
      <c r="JN358" s="47"/>
      <c r="JO358" s="47"/>
      <c r="JP358" s="47"/>
      <c r="JQ358" s="47"/>
      <c r="JR358" s="47"/>
      <c r="JS358" s="47"/>
      <c r="JT358" s="47"/>
      <c r="JU358" s="47"/>
      <c r="JV358" s="47"/>
      <c r="JW358" s="47"/>
      <c r="JX358" s="47"/>
      <c r="JY358" s="47"/>
      <c r="JZ358" s="47"/>
      <c r="KA358" s="47"/>
      <c r="KB358" s="47"/>
      <c r="KC358" s="47"/>
      <c r="KD358" s="47"/>
      <c r="KE358" s="47"/>
      <c r="KF358" s="47"/>
      <c r="KG358" s="47"/>
      <c r="KH358" s="47"/>
      <c r="KI358" s="47"/>
      <c r="KJ358" s="47"/>
      <c r="KK358" s="47"/>
      <c r="KL358" s="47"/>
      <c r="KM358" s="47"/>
      <c r="KN358" s="47"/>
      <c r="KO358" s="47"/>
      <c r="KP358" s="47"/>
      <c r="KQ358" s="47"/>
      <c r="KR358" s="47"/>
      <c r="KS358" s="47"/>
      <c r="KT358" s="47"/>
      <c r="KU358" s="47"/>
      <c r="KV358" s="47"/>
      <c r="KW358" s="47"/>
      <c r="KX358" s="47"/>
      <c r="KY358" s="47"/>
      <c r="KZ358" s="47"/>
      <c r="LA358" s="47"/>
      <c r="LB358" s="47"/>
      <c r="LC358" s="47"/>
      <c r="LD358" s="47"/>
      <c r="LE358" s="47"/>
      <c r="LF358" s="47"/>
      <c r="LG358" s="47"/>
      <c r="LH358" s="47"/>
      <c r="LI358" s="47"/>
      <c r="LJ358" s="47"/>
      <c r="LK358" s="47"/>
      <c r="LL358" s="47"/>
      <c r="LM358" s="47"/>
      <c r="LN358" s="47"/>
      <c r="LO358" s="47"/>
      <c r="LP358" s="47"/>
      <c r="LQ358" s="47"/>
      <c r="LR358" s="47"/>
      <c r="LS358" s="47"/>
      <c r="LT358" s="47"/>
      <c r="LU358" s="47"/>
      <c r="LV358" s="47"/>
      <c r="LW358" s="47"/>
      <c r="LX358" s="47"/>
      <c r="LY358" s="47"/>
      <c r="LZ358" s="47"/>
      <c r="MA358" s="47"/>
      <c r="MB358" s="47"/>
      <c r="MC358" s="47"/>
      <c r="MD358" s="47"/>
      <c r="ME358" s="47"/>
      <c r="MF358" s="47"/>
      <c r="MG358" s="47"/>
      <c r="MH358" s="47"/>
      <c r="MI358" s="47"/>
      <c r="MJ358" s="47"/>
      <c r="MK358" s="47"/>
      <c r="ML358" s="47"/>
      <c r="MM358" s="47"/>
      <c r="MN358" s="47"/>
      <c r="MO358" s="47"/>
      <c r="MP358" s="47"/>
      <c r="MQ358" s="47"/>
      <c r="MR358" s="47"/>
      <c r="MS358" s="47"/>
      <c r="MT358" s="47"/>
      <c r="MU358" s="47"/>
      <c r="MV358" s="47"/>
      <c r="MW358" s="47"/>
      <c r="MX358" s="47"/>
      <c r="MY358" s="47"/>
      <c r="MZ358" s="47"/>
      <c r="NA358" s="47"/>
      <c r="NB358" s="47"/>
      <c r="NC358" s="47"/>
      <c r="ND358" s="47"/>
      <c r="NE358" s="47"/>
      <c r="NF358" s="47"/>
      <c r="NG358" s="47"/>
      <c r="NH358" s="47"/>
      <c r="NI358" s="47"/>
      <c r="NJ358" s="47"/>
      <c r="NK358" s="47"/>
      <c r="NL358" s="47"/>
      <c r="NM358" s="47"/>
      <c r="NN358" s="47"/>
      <c r="NO358" s="47"/>
      <c r="NP358" s="47"/>
      <c r="NQ358" s="47"/>
      <c r="NR358" s="47"/>
      <c r="NS358" s="47"/>
      <c r="NT358" s="47"/>
      <c r="NU358" s="47"/>
      <c r="NV358" s="47"/>
      <c r="NW358" s="47"/>
      <c r="NX358" s="47"/>
      <c r="NY358" s="47"/>
      <c r="NZ358" s="47"/>
      <c r="OA358" s="47"/>
      <c r="OB358" s="47"/>
      <c r="OC358" s="47"/>
      <c r="OD358" s="47"/>
      <c r="OE358" s="47"/>
      <c r="OF358" s="47"/>
      <c r="OG358" s="47"/>
      <c r="OH358" s="47"/>
      <c r="OI358" s="47"/>
      <c r="OJ358" s="47"/>
      <c r="OK358" s="47"/>
      <c r="OL358" s="47"/>
      <c r="OM358" s="47"/>
      <c r="ON358" s="47"/>
      <c r="OO358" s="47"/>
      <c r="OP358" s="47"/>
      <c r="OQ358" s="47"/>
      <c r="OR358" s="47"/>
      <c r="OS358" s="47"/>
      <c r="OT358" s="47"/>
      <c r="OU358" s="47"/>
      <c r="OV358" s="47"/>
      <c r="OW358" s="47"/>
      <c r="OX358" s="47"/>
      <c r="OY358" s="47"/>
      <c r="OZ358" s="47"/>
      <c r="PA358" s="47"/>
      <c r="PB358" s="47"/>
      <c r="PC358" s="47"/>
      <c r="PD358" s="47"/>
      <c r="PE358" s="47"/>
      <c r="PF358" s="47"/>
      <c r="PG358" s="47"/>
      <c r="PH358" s="47"/>
      <c r="PI358" s="47"/>
      <c r="PJ358" s="47"/>
      <c r="PK358" s="47"/>
      <c r="PL358" s="47"/>
      <c r="PM358" s="47"/>
      <c r="PN358" s="47"/>
      <c r="PO358" s="47"/>
      <c r="PP358" s="47"/>
      <c r="PQ358" s="47"/>
      <c r="PR358" s="47"/>
      <c r="PS358" s="47"/>
      <c r="PT358" s="47"/>
      <c r="PU358" s="47"/>
      <c r="PV358" s="47"/>
      <c r="PW358" s="47"/>
      <c r="PX358" s="47"/>
      <c r="PY358" s="47"/>
      <c r="PZ358" s="47"/>
      <c r="QA358" s="47"/>
      <c r="QB358" s="47"/>
      <c r="QC358" s="47"/>
      <c r="QD358" s="47"/>
      <c r="QE358" s="47"/>
      <c r="QF358" s="47"/>
      <c r="QG358" s="47"/>
      <c r="QH358" s="47"/>
      <c r="QI358" s="47"/>
      <c r="QJ358" s="47"/>
      <c r="QK358" s="47"/>
      <c r="QL358" s="47"/>
      <c r="QM358" s="47"/>
      <c r="QN358" s="47"/>
      <c r="QO358" s="47"/>
      <c r="QP358" s="47"/>
      <c r="QQ358" s="47"/>
      <c r="QR358" s="47"/>
      <c r="QS358" s="47"/>
      <c r="QT358" s="47"/>
      <c r="QU358" s="47"/>
      <c r="QV358" s="47"/>
      <c r="QW358" s="47"/>
      <c r="QX358" s="47"/>
      <c r="QY358" s="47"/>
      <c r="QZ358" s="47"/>
      <c r="RA358" s="47"/>
      <c r="RB358" s="47"/>
      <c r="RC358" s="47"/>
      <c r="RD358" s="47"/>
      <c r="RE358" s="47"/>
      <c r="RF358" s="47"/>
      <c r="RG358" s="47"/>
      <c r="RH358" s="47"/>
      <c r="RI358" s="47"/>
      <c r="RJ358" s="47"/>
      <c r="RK358" s="47"/>
      <c r="RL358" s="47"/>
      <c r="RM358" s="47"/>
      <c r="RN358" s="47"/>
      <c r="RO358" s="47"/>
      <c r="RP358" s="47"/>
      <c r="RQ358" s="47"/>
      <c r="RR358" s="47"/>
      <c r="RS358" s="47"/>
      <c r="RT358" s="47"/>
      <c r="RU358" s="47"/>
      <c r="RV358" s="47"/>
      <c r="RW358" s="47"/>
      <c r="RX358" s="47"/>
      <c r="RY358" s="47"/>
      <c r="RZ358" s="47"/>
      <c r="SA358" s="47"/>
      <c r="SB358" s="47"/>
      <c r="SC358" s="47"/>
      <c r="SD358" s="47"/>
      <c r="SE358" s="47"/>
      <c r="SF358" s="47"/>
      <c r="SG358" s="47"/>
      <c r="SH358" s="47"/>
      <c r="SI358" s="47"/>
      <c r="SJ358" s="47"/>
      <c r="SK358" s="47"/>
      <c r="SL358" s="47"/>
      <c r="SM358" s="47"/>
      <c r="SN358" s="47"/>
      <c r="SO358" s="47"/>
      <c r="SP358" s="47"/>
      <c r="SQ358" s="47"/>
      <c r="SR358" s="47"/>
      <c r="SS358" s="47"/>
      <c r="ST358" s="47"/>
      <c r="SU358" s="47"/>
      <c r="SV358" s="47"/>
      <c r="SW358" s="47"/>
      <c r="SX358" s="47"/>
      <c r="SY358" s="47"/>
      <c r="SZ358" s="47"/>
      <c r="TA358" s="47"/>
      <c r="TB358" s="47"/>
      <c r="TC358" s="47"/>
      <c r="TD358" s="47"/>
      <c r="TE358" s="47"/>
      <c r="TF358" s="47"/>
      <c r="TG358" s="47"/>
      <c r="TH358" s="47"/>
      <c r="TI358" s="47"/>
      <c r="TJ358" s="47"/>
      <c r="TK358" s="47"/>
      <c r="TL358" s="47"/>
      <c r="TM358" s="47"/>
      <c r="TN358" s="47"/>
      <c r="TO358" s="47"/>
      <c r="TP358" s="47"/>
      <c r="TQ358" s="47"/>
      <c r="TR358" s="47"/>
      <c r="TS358" s="47"/>
      <c r="TT358" s="47"/>
      <c r="TU358" s="47"/>
      <c r="TV358" s="47"/>
      <c r="TW358" s="47"/>
      <c r="TX358" s="47"/>
      <c r="TY358" s="47"/>
      <c r="TZ358" s="47"/>
      <c r="UA358" s="47"/>
      <c r="UB358" s="47"/>
      <c r="UC358" s="47"/>
      <c r="UD358" s="47"/>
      <c r="UE358" s="47"/>
      <c r="UF358" s="47"/>
      <c r="UG358" s="47"/>
      <c r="UH358" s="47"/>
      <c r="UI358" s="47"/>
      <c r="UJ358" s="47"/>
      <c r="UK358" s="47"/>
      <c r="UL358" s="47"/>
      <c r="UM358" s="47"/>
      <c r="UN358" s="47"/>
      <c r="UO358" s="47"/>
      <c r="UP358" s="47"/>
      <c r="UQ358" s="47"/>
      <c r="UR358" s="47"/>
      <c r="US358" s="47"/>
      <c r="UT358" s="47"/>
      <c r="UU358" s="47"/>
      <c r="UV358" s="47"/>
      <c r="UW358" s="47"/>
      <c r="UX358" s="47"/>
      <c r="UY358" s="47"/>
      <c r="UZ358" s="47"/>
      <c r="VA358" s="47"/>
      <c r="VB358" s="47"/>
      <c r="VC358" s="47"/>
      <c r="VD358" s="47"/>
      <c r="VE358" s="47"/>
      <c r="VF358" s="47"/>
      <c r="VG358" s="47"/>
      <c r="VH358" s="47"/>
      <c r="VI358" s="47"/>
      <c r="VJ358" s="47"/>
      <c r="VK358" s="47"/>
      <c r="VL358" s="47"/>
      <c r="VM358" s="47"/>
      <c r="VN358" s="47"/>
      <c r="VO358" s="47"/>
      <c r="VP358" s="47"/>
      <c r="VQ358" s="47"/>
      <c r="VR358" s="47"/>
      <c r="VS358" s="47"/>
      <c r="VT358" s="47"/>
      <c r="VU358" s="47"/>
      <c r="VV358" s="47"/>
      <c r="VW358" s="47"/>
      <c r="VX358" s="47"/>
      <c r="VY358" s="47"/>
      <c r="VZ358" s="47"/>
      <c r="WA358" s="47"/>
      <c r="WB358" s="47"/>
      <c r="WC358" s="47"/>
      <c r="WD358" s="47"/>
      <c r="WE358" s="47"/>
      <c r="WF358" s="47"/>
      <c r="WG358" s="47"/>
      <c r="WH358" s="47"/>
      <c r="WI358" s="47"/>
      <c r="WJ358" s="47"/>
      <c r="WK358" s="47"/>
      <c r="WL358" s="47"/>
      <c r="WM358" s="47"/>
      <c r="WN358" s="47"/>
      <c r="WO358" s="47"/>
      <c r="WP358" s="47"/>
      <c r="WQ358" s="47"/>
      <c r="WR358" s="47"/>
      <c r="WS358" s="47"/>
      <c r="WT358" s="47"/>
      <c r="WU358" s="47"/>
      <c r="WV358" s="47"/>
      <c r="WW358" s="47"/>
      <c r="WX358" s="47"/>
      <c r="WY358" s="47"/>
      <c r="WZ358" s="47"/>
      <c r="XA358" s="47"/>
      <c r="XB358" s="47"/>
      <c r="XC358" s="47"/>
      <c r="XD358" s="47"/>
      <c r="XE358" s="47"/>
      <c r="XF358" s="47"/>
      <c r="XG358" s="47"/>
      <c r="XH358" s="47"/>
      <c r="XI358" s="47"/>
      <c r="XJ358" s="47"/>
      <c r="XK358" s="47"/>
      <c r="XL358" s="47"/>
      <c r="XM358" s="47"/>
      <c r="XN358" s="47"/>
      <c r="XO358" s="47"/>
      <c r="XP358" s="47"/>
      <c r="XQ358" s="47"/>
      <c r="XR358" s="47"/>
      <c r="XS358" s="47"/>
      <c r="XT358" s="47"/>
      <c r="XU358" s="47"/>
      <c r="XV358" s="47"/>
      <c r="XW358" s="47"/>
      <c r="XX358" s="47"/>
      <c r="XY358" s="47"/>
      <c r="XZ358" s="47"/>
      <c r="YA358" s="47"/>
      <c r="YB358" s="47"/>
      <c r="YC358" s="47"/>
      <c r="YD358" s="47"/>
      <c r="YE358" s="47"/>
      <c r="YF358" s="47"/>
      <c r="YG358" s="47"/>
      <c r="YH358" s="47"/>
      <c r="YI358" s="47"/>
      <c r="YJ358" s="47"/>
      <c r="YK358" s="47"/>
      <c r="YL358" s="47"/>
      <c r="YM358" s="47"/>
      <c r="YN358" s="47"/>
      <c r="YO358" s="47"/>
      <c r="YP358" s="47"/>
      <c r="YQ358" s="47"/>
      <c r="YR358" s="47"/>
      <c r="YS358" s="47"/>
      <c r="YT358" s="47"/>
      <c r="YU358" s="47"/>
      <c r="YV358" s="47"/>
      <c r="YW358" s="47"/>
      <c r="YX358" s="47"/>
      <c r="YY358" s="47"/>
      <c r="YZ358" s="47"/>
      <c r="ZA358" s="47"/>
      <c r="ZB358" s="47"/>
      <c r="ZC358" s="47"/>
      <c r="ZD358" s="47"/>
      <c r="ZE358" s="47"/>
      <c r="ZF358" s="47"/>
      <c r="ZG358" s="47"/>
      <c r="ZH358" s="47"/>
      <c r="ZI358" s="47"/>
      <c r="ZJ358" s="47"/>
      <c r="ZK358" s="47"/>
      <c r="ZL358" s="47"/>
      <c r="ZM358" s="47"/>
      <c r="ZN358" s="47"/>
      <c r="ZO358" s="47"/>
      <c r="ZP358" s="47"/>
      <c r="ZQ358" s="47"/>
      <c r="ZR358" s="47"/>
      <c r="ZS358" s="47"/>
      <c r="ZT358" s="47"/>
      <c r="ZU358" s="47"/>
      <c r="ZV358" s="47"/>
      <c r="ZW358" s="47"/>
      <c r="ZX358" s="47"/>
      <c r="ZY358" s="619"/>
      <c r="ZZ358" s="624"/>
      <c r="AAA358" s="590"/>
      <c r="AAD358" s="113"/>
      <c r="AAE358" s="553">
        <f t="shared" si="951"/>
        <v>1</v>
      </c>
      <c r="AAF358" s="585" t="s">
        <v>199</v>
      </c>
      <c r="AAG358" s="63"/>
      <c r="AAH358" s="63"/>
      <c r="AAI358" s="77"/>
      <c r="AAJ358" s="77"/>
      <c r="AAK358" s="77"/>
      <c r="AAL358" s="56"/>
      <c r="AAM358" s="113"/>
      <c r="AAN358"/>
      <c r="AAT358" s="23"/>
      <c r="AAU358" s="44"/>
    </row>
    <row r="359" spans="1:723" ht="15" customHeight="1" outlineLevel="1">
      <c r="A359" s="560"/>
      <c r="B359" s="459" t="s">
        <v>103</v>
      </c>
      <c r="C359" s="460"/>
      <c r="D359" s="278" t="s">
        <v>16</v>
      </c>
      <c r="E359" s="369">
        <f>NETWORKDAYS(G359,H359,S.DDL_DEQClosed)</f>
        <v>1</v>
      </c>
      <c r="F359" s="493">
        <f ca="1">NETWORKDAYS(TODAY(),H359)</f>
        <v>50</v>
      </c>
      <c r="G359" s="450">
        <f t="shared" ref="G359:H359" si="957">AAG359</f>
        <v>41450</v>
      </c>
      <c r="H359" s="450">
        <f t="shared" si="957"/>
        <v>41450</v>
      </c>
      <c r="I359" s="629"/>
      <c r="J359" s="594"/>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c r="CH359" s="50"/>
      <c r="CI359" s="50"/>
      <c r="CJ359" s="50"/>
      <c r="CK359" s="50"/>
      <c r="CL359" s="50"/>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c r="DO359" s="50"/>
      <c r="DP359" s="50"/>
      <c r="DQ359" s="50"/>
      <c r="DR359" s="50"/>
      <c r="DS359" s="50"/>
      <c r="DT359" s="50"/>
      <c r="DU359" s="50"/>
      <c r="DV359" s="50"/>
      <c r="DW359" s="50"/>
      <c r="DX359" s="50"/>
      <c r="DY359" s="50"/>
      <c r="DZ359" s="50"/>
      <c r="EA359" s="50"/>
      <c r="EB359" s="50"/>
      <c r="EC359" s="50"/>
      <c r="ED359" s="50"/>
      <c r="EE359" s="50"/>
      <c r="EF359" s="50"/>
      <c r="EG359" s="50"/>
      <c r="EH359" s="50"/>
      <c r="EI359" s="50"/>
      <c r="EJ359" s="50"/>
      <c r="EK359" s="50"/>
      <c r="EL359" s="50"/>
      <c r="EM359" s="50"/>
      <c r="EN359" s="50"/>
      <c r="EO359" s="50"/>
      <c r="EP359" s="50"/>
      <c r="EQ359" s="50"/>
      <c r="ER359" s="50"/>
      <c r="ES359" s="50"/>
      <c r="ET359" s="50"/>
      <c r="EU359" s="50"/>
      <c r="EV359" s="50"/>
      <c r="EW359" s="50"/>
      <c r="EX359" s="50"/>
      <c r="EY359" s="50"/>
      <c r="EZ359" s="50"/>
      <c r="FA359" s="50"/>
      <c r="FB359" s="50"/>
      <c r="FC359" s="50"/>
      <c r="FD359" s="50"/>
      <c r="FE359" s="50"/>
      <c r="FF359" s="50"/>
      <c r="FG359" s="50"/>
      <c r="FH359" s="50"/>
      <c r="FI359" s="50"/>
      <c r="FJ359" s="50"/>
      <c r="FK359" s="50"/>
      <c r="FL359" s="50"/>
      <c r="FM359" s="50"/>
      <c r="FN359" s="50"/>
      <c r="FO359" s="50"/>
      <c r="FP359" s="50"/>
      <c r="FQ359" s="50"/>
      <c r="FR359" s="50"/>
      <c r="FS359" s="50"/>
      <c r="FT359" s="50"/>
      <c r="FU359" s="50"/>
      <c r="FV359" s="50"/>
      <c r="FW359" s="50"/>
      <c r="FX359" s="50"/>
      <c r="FY359" s="50"/>
      <c r="FZ359" s="50"/>
      <c r="GA359" s="50"/>
      <c r="GB359" s="50"/>
      <c r="GC359" s="50"/>
      <c r="GD359" s="50"/>
      <c r="GE359" s="50"/>
      <c r="GF359" s="50"/>
      <c r="GG359" s="50"/>
      <c r="GH359" s="50"/>
      <c r="GI359" s="50"/>
      <c r="GJ359" s="50"/>
      <c r="GK359" s="50"/>
      <c r="GL359" s="50"/>
      <c r="GM359" s="50"/>
      <c r="GN359" s="50"/>
      <c r="GO359" s="50"/>
      <c r="GP359" s="50"/>
      <c r="GQ359" s="50"/>
      <c r="GR359" s="50"/>
      <c r="GS359" s="50"/>
      <c r="GT359" s="50"/>
      <c r="GU359" s="50"/>
      <c r="GV359" s="50"/>
      <c r="GW359" s="50"/>
      <c r="GX359" s="50"/>
      <c r="GY359" s="50"/>
      <c r="GZ359" s="50"/>
      <c r="HA359" s="50"/>
      <c r="HB359" s="50"/>
      <c r="HC359" s="50"/>
      <c r="HD359" s="50"/>
      <c r="HE359" s="50"/>
      <c r="HF359" s="50"/>
      <c r="HG359" s="50"/>
      <c r="HH359" s="50"/>
      <c r="HI359" s="50"/>
      <c r="HJ359" s="50"/>
      <c r="HK359" s="50"/>
      <c r="HL359" s="50"/>
      <c r="HM359" s="50"/>
      <c r="HN359" s="50"/>
      <c r="HO359" s="50"/>
      <c r="HP359" s="50"/>
      <c r="HQ359" s="50"/>
      <c r="HR359" s="50"/>
      <c r="HS359" s="50"/>
      <c r="HT359" s="50"/>
      <c r="HU359" s="50"/>
      <c r="HV359" s="50"/>
      <c r="HW359" s="50"/>
      <c r="HX359" s="50"/>
      <c r="HY359" s="50"/>
      <c r="HZ359" s="50"/>
      <c r="IA359" s="50"/>
      <c r="IB359" s="50"/>
      <c r="IC359" s="50"/>
      <c r="ID359" s="50"/>
      <c r="IE359" s="50"/>
      <c r="IF359" s="50"/>
      <c r="IG359" s="50"/>
      <c r="IH359" s="50"/>
      <c r="II359" s="50"/>
      <c r="IJ359" s="50"/>
      <c r="IK359" s="50"/>
      <c r="IL359" s="50"/>
      <c r="IM359" s="50"/>
      <c r="IN359" s="50"/>
      <c r="IO359" s="50"/>
      <c r="IP359" s="50"/>
      <c r="IQ359" s="50"/>
      <c r="IR359" s="50"/>
      <c r="IS359" s="50"/>
      <c r="IT359" s="50"/>
      <c r="IU359" s="50"/>
      <c r="IV359" s="50"/>
      <c r="IW359" s="50"/>
      <c r="IX359" s="50"/>
      <c r="IY359" s="50"/>
      <c r="IZ359" s="50"/>
      <c r="JA359" s="50"/>
      <c r="JB359" s="50"/>
      <c r="JC359" s="50"/>
      <c r="JD359" s="50"/>
      <c r="JE359" s="50"/>
      <c r="JF359" s="50"/>
      <c r="JG359" s="50"/>
      <c r="JH359" s="50"/>
      <c r="JI359" s="50"/>
      <c r="JJ359" s="50"/>
      <c r="JK359" s="50"/>
      <c r="JL359" s="50"/>
      <c r="JM359" s="50"/>
      <c r="JN359" s="50"/>
      <c r="JO359" s="50"/>
      <c r="JP359" s="50"/>
      <c r="JQ359" s="50"/>
      <c r="JR359" s="50"/>
      <c r="JS359" s="50"/>
      <c r="JT359" s="50"/>
      <c r="JU359" s="50"/>
      <c r="JV359" s="50"/>
      <c r="JW359" s="50"/>
      <c r="JX359" s="50"/>
      <c r="JY359" s="50"/>
      <c r="JZ359" s="50"/>
      <c r="KA359" s="50"/>
      <c r="KB359" s="50"/>
      <c r="KC359" s="50"/>
      <c r="KD359" s="50"/>
      <c r="KE359" s="50"/>
      <c r="KF359" s="50"/>
      <c r="KG359" s="50"/>
      <c r="KH359" s="50"/>
      <c r="KI359" s="50"/>
      <c r="KJ359" s="50"/>
      <c r="KK359" s="50"/>
      <c r="KL359" s="50"/>
      <c r="KM359" s="50"/>
      <c r="KN359" s="50"/>
      <c r="KO359" s="50"/>
      <c r="KP359" s="50"/>
      <c r="KQ359" s="50"/>
      <c r="KR359" s="50"/>
      <c r="KS359" s="50"/>
      <c r="KT359" s="50"/>
      <c r="KU359" s="50"/>
      <c r="KV359" s="50"/>
      <c r="KW359" s="50"/>
      <c r="KX359" s="50"/>
      <c r="KY359" s="50"/>
      <c r="KZ359" s="50"/>
      <c r="LA359" s="50"/>
      <c r="LB359" s="50"/>
      <c r="LC359" s="50"/>
      <c r="LD359" s="50"/>
      <c r="LE359" s="50"/>
      <c r="LF359" s="50"/>
      <c r="LG359" s="50"/>
      <c r="LH359" s="50"/>
      <c r="LI359" s="50"/>
      <c r="LJ359" s="50"/>
      <c r="LK359" s="50"/>
      <c r="LL359" s="50"/>
      <c r="LM359" s="50"/>
      <c r="LN359" s="50"/>
      <c r="LO359" s="50"/>
      <c r="LP359" s="50"/>
      <c r="LQ359" s="50"/>
      <c r="LR359" s="50"/>
      <c r="LS359" s="50"/>
      <c r="LT359" s="50"/>
      <c r="LU359" s="50"/>
      <c r="LV359" s="50"/>
      <c r="LW359" s="50"/>
      <c r="LX359" s="50"/>
      <c r="LY359" s="50"/>
      <c r="LZ359" s="50"/>
      <c r="MA359" s="50"/>
      <c r="MB359" s="50"/>
      <c r="MC359" s="50"/>
      <c r="MD359" s="50"/>
      <c r="ME359" s="50"/>
      <c r="MF359" s="50"/>
      <c r="MG359" s="50"/>
      <c r="MH359" s="50"/>
      <c r="MI359" s="50"/>
      <c r="MJ359" s="50"/>
      <c r="MK359" s="50"/>
      <c r="ML359" s="50"/>
      <c r="MM359" s="50"/>
      <c r="MN359" s="50"/>
      <c r="MO359" s="50"/>
      <c r="MP359" s="50"/>
      <c r="MQ359" s="50"/>
      <c r="MR359" s="50"/>
      <c r="MS359" s="50"/>
      <c r="MT359" s="50"/>
      <c r="MU359" s="50"/>
      <c r="MV359" s="50"/>
      <c r="MW359" s="50"/>
      <c r="MX359" s="50"/>
      <c r="MY359" s="50"/>
      <c r="MZ359" s="50"/>
      <c r="NA359" s="50"/>
      <c r="NB359" s="50"/>
      <c r="NC359" s="50"/>
      <c r="ND359" s="50"/>
      <c r="NE359" s="50"/>
      <c r="NF359" s="50"/>
      <c r="NG359" s="50"/>
      <c r="NH359" s="50"/>
      <c r="NI359" s="50"/>
      <c r="NJ359" s="50"/>
      <c r="NK359" s="50"/>
      <c r="NL359" s="50"/>
      <c r="NM359" s="50"/>
      <c r="NN359" s="50"/>
      <c r="NO359" s="50"/>
      <c r="NP359" s="50"/>
      <c r="NQ359" s="50"/>
      <c r="NR359" s="50"/>
      <c r="NS359" s="50"/>
      <c r="NT359" s="50"/>
      <c r="NU359" s="50"/>
      <c r="NV359" s="50"/>
      <c r="NW359" s="50"/>
      <c r="NX359" s="50"/>
      <c r="NY359" s="50"/>
      <c r="NZ359" s="50"/>
      <c r="OA359" s="50"/>
      <c r="OB359" s="50"/>
      <c r="OC359" s="50"/>
      <c r="OD359" s="50"/>
      <c r="OE359" s="50"/>
      <c r="OF359" s="50"/>
      <c r="OG359" s="50"/>
      <c r="OH359" s="50"/>
      <c r="OI359" s="50"/>
      <c r="OJ359" s="50"/>
      <c r="OK359" s="50"/>
      <c r="OL359" s="50"/>
      <c r="OM359" s="50"/>
      <c r="ON359" s="50"/>
      <c r="OO359" s="50"/>
      <c r="OP359" s="50"/>
      <c r="OQ359" s="50"/>
      <c r="OR359" s="50"/>
      <c r="OS359" s="50"/>
      <c r="OT359" s="50"/>
      <c r="OU359" s="50"/>
      <c r="OV359" s="50"/>
      <c r="OW359" s="50"/>
      <c r="OX359" s="50"/>
      <c r="OY359" s="50"/>
      <c r="OZ359" s="50"/>
      <c r="PA359" s="50"/>
      <c r="PB359" s="50"/>
      <c r="PC359" s="50"/>
      <c r="PD359" s="50"/>
      <c r="PE359" s="50"/>
      <c r="PF359" s="50"/>
      <c r="PG359" s="50"/>
      <c r="PH359" s="50"/>
      <c r="PI359" s="50"/>
      <c r="PJ359" s="50"/>
      <c r="PK359" s="50"/>
      <c r="PL359" s="50"/>
      <c r="PM359" s="50"/>
      <c r="PN359" s="50"/>
      <c r="PO359" s="50"/>
      <c r="PP359" s="50"/>
      <c r="PQ359" s="50"/>
      <c r="PR359" s="50"/>
      <c r="PS359" s="50"/>
      <c r="PT359" s="50"/>
      <c r="PU359" s="50"/>
      <c r="PV359" s="50"/>
      <c r="PW359" s="50"/>
      <c r="PX359" s="50"/>
      <c r="PY359" s="50"/>
      <c r="PZ359" s="50"/>
      <c r="QA359" s="50"/>
      <c r="QB359" s="50"/>
      <c r="QC359" s="50"/>
      <c r="QD359" s="50"/>
      <c r="QE359" s="50"/>
      <c r="QF359" s="50"/>
      <c r="QG359" s="50"/>
      <c r="QH359" s="50"/>
      <c r="QI359" s="50"/>
      <c r="QJ359" s="50"/>
      <c r="QK359" s="50"/>
      <c r="QL359" s="50"/>
      <c r="QM359" s="50"/>
      <c r="QN359" s="50"/>
      <c r="QO359" s="50"/>
      <c r="QP359" s="50"/>
      <c r="QQ359" s="50"/>
      <c r="QR359" s="50"/>
      <c r="QS359" s="50"/>
      <c r="QT359" s="50"/>
      <c r="QU359" s="50"/>
      <c r="QV359" s="50"/>
      <c r="QW359" s="50"/>
      <c r="QX359" s="50"/>
      <c r="QY359" s="50"/>
      <c r="QZ359" s="50"/>
      <c r="RA359" s="50"/>
      <c r="RB359" s="50"/>
      <c r="RC359" s="50"/>
      <c r="RD359" s="50"/>
      <c r="RE359" s="50"/>
      <c r="RF359" s="50"/>
      <c r="RG359" s="50"/>
      <c r="RH359" s="50"/>
      <c r="RI359" s="50"/>
      <c r="RJ359" s="50"/>
      <c r="RK359" s="50"/>
      <c r="RL359" s="50"/>
      <c r="RM359" s="50"/>
      <c r="RN359" s="50"/>
      <c r="RO359" s="50"/>
      <c r="RP359" s="50"/>
      <c r="RQ359" s="50"/>
      <c r="RR359" s="50"/>
      <c r="RS359" s="50"/>
      <c r="RT359" s="50"/>
      <c r="RU359" s="50"/>
      <c r="RV359" s="50"/>
      <c r="RW359" s="50"/>
      <c r="RX359" s="50"/>
      <c r="RY359" s="50"/>
      <c r="RZ359" s="50"/>
      <c r="SA359" s="50"/>
      <c r="SB359" s="50"/>
      <c r="SC359" s="50"/>
      <c r="SD359" s="50"/>
      <c r="SE359" s="50"/>
      <c r="SF359" s="50"/>
      <c r="SG359" s="50"/>
      <c r="SH359" s="50"/>
      <c r="SI359" s="50"/>
      <c r="SJ359" s="50"/>
      <c r="SK359" s="50"/>
      <c r="SL359" s="50"/>
      <c r="SM359" s="50"/>
      <c r="SN359" s="50"/>
      <c r="SO359" s="50"/>
      <c r="SP359" s="50"/>
      <c r="SQ359" s="50"/>
      <c r="SR359" s="50"/>
      <c r="SS359" s="50"/>
      <c r="ST359" s="50"/>
      <c r="SU359" s="50"/>
      <c r="SV359" s="50"/>
      <c r="SW359" s="50"/>
      <c r="SX359" s="50"/>
      <c r="SY359" s="50"/>
      <c r="SZ359" s="50"/>
      <c r="TA359" s="50"/>
      <c r="TB359" s="50"/>
      <c r="TC359" s="50"/>
      <c r="TD359" s="50"/>
      <c r="TE359" s="50"/>
      <c r="TF359" s="50"/>
      <c r="TG359" s="50"/>
      <c r="TH359" s="50"/>
      <c r="TI359" s="50"/>
      <c r="TJ359" s="50"/>
      <c r="TK359" s="50"/>
      <c r="TL359" s="50"/>
      <c r="TM359" s="50"/>
      <c r="TN359" s="50"/>
      <c r="TO359" s="50"/>
      <c r="TP359" s="50"/>
      <c r="TQ359" s="50"/>
      <c r="TR359" s="50"/>
      <c r="TS359" s="50"/>
      <c r="TT359" s="50"/>
      <c r="TU359" s="50"/>
      <c r="TV359" s="50"/>
      <c r="TW359" s="50"/>
      <c r="TX359" s="50"/>
      <c r="TY359" s="50"/>
      <c r="TZ359" s="50"/>
      <c r="UA359" s="50"/>
      <c r="UB359" s="50"/>
      <c r="UC359" s="50"/>
      <c r="UD359" s="50"/>
      <c r="UE359" s="50"/>
      <c r="UF359" s="50"/>
      <c r="UG359" s="50"/>
      <c r="UH359" s="50"/>
      <c r="UI359" s="50"/>
      <c r="UJ359" s="50"/>
      <c r="UK359" s="50"/>
      <c r="UL359" s="50"/>
      <c r="UM359" s="50"/>
      <c r="UN359" s="50"/>
      <c r="UO359" s="50"/>
      <c r="UP359" s="50"/>
      <c r="UQ359" s="50"/>
      <c r="UR359" s="50"/>
      <c r="US359" s="50"/>
      <c r="UT359" s="50"/>
      <c r="UU359" s="50"/>
      <c r="UV359" s="50"/>
      <c r="UW359" s="50"/>
      <c r="UX359" s="50"/>
      <c r="UY359" s="50"/>
      <c r="UZ359" s="50"/>
      <c r="VA359" s="50"/>
      <c r="VB359" s="50"/>
      <c r="VC359" s="50"/>
      <c r="VD359" s="50"/>
      <c r="VE359" s="50"/>
      <c r="VF359" s="50"/>
      <c r="VG359" s="50"/>
      <c r="VH359" s="50"/>
      <c r="VI359" s="50"/>
      <c r="VJ359" s="50"/>
      <c r="VK359" s="50"/>
      <c r="VL359" s="50"/>
      <c r="VM359" s="50"/>
      <c r="VN359" s="50"/>
      <c r="VO359" s="50"/>
      <c r="VP359" s="50"/>
      <c r="VQ359" s="50"/>
      <c r="VR359" s="50"/>
      <c r="VS359" s="50"/>
      <c r="VT359" s="50"/>
      <c r="VU359" s="50"/>
      <c r="VV359" s="50"/>
      <c r="VW359" s="50"/>
      <c r="VX359" s="50"/>
      <c r="VY359" s="50"/>
      <c r="VZ359" s="50"/>
      <c r="WA359" s="50"/>
      <c r="WB359" s="50"/>
      <c r="WC359" s="50"/>
      <c r="WD359" s="50"/>
      <c r="WE359" s="50"/>
      <c r="WF359" s="50"/>
      <c r="WG359" s="50"/>
      <c r="WH359" s="50"/>
      <c r="WI359" s="50"/>
      <c r="WJ359" s="50"/>
      <c r="WK359" s="50"/>
      <c r="WL359" s="50"/>
      <c r="WM359" s="50"/>
      <c r="WN359" s="50"/>
      <c r="WO359" s="50"/>
      <c r="WP359" s="50"/>
      <c r="WQ359" s="50"/>
      <c r="WR359" s="50"/>
      <c r="WS359" s="50"/>
      <c r="WT359" s="50"/>
      <c r="WU359" s="50"/>
      <c r="WV359" s="50"/>
      <c r="WW359" s="50"/>
      <c r="WX359" s="50"/>
      <c r="WY359" s="50"/>
      <c r="WZ359" s="50"/>
      <c r="XA359" s="50"/>
      <c r="XB359" s="50"/>
      <c r="XC359" s="50"/>
      <c r="XD359" s="50"/>
      <c r="XE359" s="50"/>
      <c r="XF359" s="50"/>
      <c r="XG359" s="50"/>
      <c r="XH359" s="50"/>
      <c r="XI359" s="50"/>
      <c r="XJ359" s="50"/>
      <c r="XK359" s="50"/>
      <c r="XL359" s="50"/>
      <c r="XM359" s="50"/>
      <c r="XN359" s="50"/>
      <c r="XO359" s="50"/>
      <c r="XP359" s="50"/>
      <c r="XQ359" s="50"/>
      <c r="XR359" s="50"/>
      <c r="XS359" s="50"/>
      <c r="XT359" s="50"/>
      <c r="XU359" s="50"/>
      <c r="XV359" s="50"/>
      <c r="XW359" s="50"/>
      <c r="XX359" s="50"/>
      <c r="XY359" s="50"/>
      <c r="XZ359" s="50"/>
      <c r="YA359" s="50"/>
      <c r="YB359" s="50"/>
      <c r="YC359" s="50"/>
      <c r="YD359" s="50"/>
      <c r="YE359" s="50"/>
      <c r="YF359" s="50"/>
      <c r="YG359" s="50"/>
      <c r="YH359" s="50"/>
      <c r="YI359" s="50"/>
      <c r="YJ359" s="50"/>
      <c r="YK359" s="50"/>
      <c r="YL359" s="50"/>
      <c r="YM359" s="50"/>
      <c r="YN359" s="50"/>
      <c r="YO359" s="50"/>
      <c r="YP359" s="50"/>
      <c r="YQ359" s="50"/>
      <c r="YR359" s="50"/>
      <c r="YS359" s="50"/>
      <c r="YT359" s="50"/>
      <c r="YU359" s="50"/>
      <c r="YV359" s="50"/>
      <c r="YW359" s="50"/>
      <c r="YX359" s="50"/>
      <c r="YY359" s="50"/>
      <c r="YZ359" s="50"/>
      <c r="ZA359" s="50"/>
      <c r="ZB359" s="50"/>
      <c r="ZC359" s="50"/>
      <c r="ZD359" s="50"/>
      <c r="ZE359" s="50"/>
      <c r="ZF359" s="50"/>
      <c r="ZG359" s="50"/>
      <c r="ZH359" s="50"/>
      <c r="ZI359" s="50"/>
      <c r="ZJ359" s="50"/>
      <c r="ZK359" s="50"/>
      <c r="ZL359" s="50"/>
      <c r="ZM359" s="50"/>
      <c r="ZN359" s="50"/>
      <c r="ZO359" s="50"/>
      <c r="ZP359" s="50"/>
      <c r="ZQ359" s="50"/>
      <c r="ZR359" s="50"/>
      <c r="ZS359" s="50"/>
      <c r="ZT359" s="50"/>
      <c r="ZU359" s="50"/>
      <c r="ZV359" s="50"/>
      <c r="ZW359" s="50"/>
      <c r="ZX359" s="50"/>
      <c r="ZY359" s="50"/>
      <c r="ZZ359" s="50"/>
      <c r="AAA359" s="590"/>
      <c r="AAD359" s="113"/>
      <c r="AAE359" s="553">
        <f t="shared" si="951"/>
        <v>1</v>
      </c>
      <c r="AAF359" s="113"/>
      <c r="AAG359" s="78">
        <f>H356</f>
        <v>41450</v>
      </c>
      <c r="AAH359" s="78">
        <f>G359</f>
        <v>41450</v>
      </c>
      <c r="AAI359" s="77"/>
      <c r="AAJ359" s="77"/>
      <c r="AAK359" s="77"/>
      <c r="AAL359" s="57"/>
      <c r="AAM359" s="113"/>
      <c r="AAN359"/>
      <c r="AAT359" s="23"/>
      <c r="AAU359" s="44"/>
    </row>
    <row r="360" spans="1:723" ht="15" customHeight="1" outlineLevel="1">
      <c r="A360" s="560"/>
      <c r="B360" s="461" t="s">
        <v>189</v>
      </c>
      <c r="C360" s="727"/>
      <c r="D360" s="196"/>
      <c r="E360" s="346"/>
      <c r="F360" s="367"/>
      <c r="G360" s="453"/>
      <c r="H360" s="368"/>
      <c r="I360" s="590"/>
      <c r="J360" s="594"/>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620"/>
      <c r="ZZ360" s="36"/>
      <c r="AAA360" s="590"/>
      <c r="AAD360" s="113"/>
      <c r="AAE360" s="553">
        <f t="shared" si="951"/>
        <v>1</v>
      </c>
      <c r="AAF360" s="585" t="s">
        <v>199</v>
      </c>
      <c r="AAG360" s="63"/>
      <c r="AAH360" s="63"/>
      <c r="AAI360" s="77"/>
      <c r="AAJ360" s="77"/>
      <c r="AAK360" s="77"/>
      <c r="AAL360" s="57"/>
      <c r="AAM360" s="113"/>
      <c r="AAN360"/>
      <c r="AAT360" s="23"/>
      <c r="AAU360" s="44"/>
    </row>
    <row r="361" spans="1:723" ht="15" customHeight="1" outlineLevel="1">
      <c r="A361" s="560"/>
      <c r="B361" s="748" t="str">
        <f t="shared" ref="B361" si="958">AAL361</f>
        <v>Hold hearings (change dates under Overview of Key Dates)</v>
      </c>
      <c r="C361" s="749"/>
      <c r="D361" s="299"/>
      <c r="E361" s="454"/>
      <c r="F361" s="455"/>
      <c r="G361" s="402"/>
      <c r="H361" s="402"/>
      <c r="I361" s="590"/>
      <c r="J361" s="594"/>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20"/>
      <c r="ZZ361" s="36"/>
      <c r="AAA361" s="590"/>
      <c r="AAD361" s="113"/>
      <c r="AAE361" s="553">
        <f t="shared" si="951"/>
        <v>1</v>
      </c>
      <c r="AAF361" s="585" t="s">
        <v>199</v>
      </c>
      <c r="AAG361" s="63"/>
      <c r="AAH361" s="63"/>
      <c r="AAI361" s="77"/>
      <c r="AAJ361" s="77"/>
      <c r="AAK361" s="77"/>
      <c r="AAL361" s="97" t="str">
        <f>IF(S.InvolveHearing=TRUE,"Hold hearings (change dates under Overview of Key Dates)","No hearings planned")</f>
        <v>Hold hearings (change dates under Overview of Key Dates)</v>
      </c>
      <c r="AAM361" s="113"/>
      <c r="AAN361"/>
      <c r="AAT361" s="23"/>
      <c r="AAU361" s="44"/>
    </row>
    <row r="362" spans="1:723" ht="15" customHeight="1" outlineLevel="1">
      <c r="A362" s="560"/>
      <c r="B362" s="411" t="str">
        <f>S.FirstHearingCity&amp;" hearing"</f>
        <v>Enter city name hearing</v>
      </c>
      <c r="C362" s="348"/>
      <c r="D362" s="278" t="s">
        <v>172</v>
      </c>
      <c r="E362" s="369">
        <f t="shared" ref="E362:E370" si="959">NETWORKDAYS(G362,H362,S.DDL_DEQClosed)</f>
        <v>1</v>
      </c>
      <c r="F362" s="493">
        <f t="shared" ref="F362:F370" ca="1" si="960">NETWORKDAYS(TODAY(),H362)</f>
        <v>88</v>
      </c>
      <c r="G362" s="456">
        <f>S.FirstHearingDate</f>
        <v>41502</v>
      </c>
      <c r="H362" s="457">
        <f>S.FirstHearingDate</f>
        <v>41502</v>
      </c>
      <c r="I362" s="629"/>
      <c r="J362" s="594"/>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50"/>
      <c r="ZZ362" s="50"/>
      <c r="AAA362" s="590"/>
      <c r="AAD362" s="113"/>
      <c r="AAE362" s="553">
        <f t="shared" si="951"/>
        <v>1</v>
      </c>
      <c r="AAF362" s="113"/>
      <c r="AAG362" s="94"/>
      <c r="AAH362" s="94"/>
      <c r="AAI362" s="77"/>
      <c r="AAJ362" s="77"/>
      <c r="AAK362" s="77"/>
      <c r="AAL362" s="80"/>
      <c r="AAM362" s="113"/>
      <c r="AAN362"/>
      <c r="AAT362" s="23"/>
      <c r="AAU362" s="44"/>
    </row>
    <row r="363" spans="1:723" ht="15" customHeight="1" outlineLevel="2">
      <c r="A363" s="560"/>
      <c r="B363" s="410" t="str">
        <f>S.2ndHearingCity&amp;" hearing"</f>
        <v>Enter city name hearing</v>
      </c>
      <c r="C363" s="348"/>
      <c r="D363" s="278" t="s">
        <v>172</v>
      </c>
      <c r="E363" s="369">
        <f t="shared" si="959"/>
        <v>1</v>
      </c>
      <c r="F363" s="493">
        <f t="shared" ca="1" si="960"/>
        <v>88</v>
      </c>
      <c r="G363" s="456">
        <f>S.2ndHearingDate</f>
        <v>41502</v>
      </c>
      <c r="H363" s="457">
        <f>S.2ndHearingDate</f>
        <v>41502</v>
      </c>
      <c r="I363" s="629"/>
      <c r="J363" s="594"/>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90"/>
      <c r="AAD363" s="113"/>
      <c r="AAE363" s="553">
        <f t="shared" si="951"/>
        <v>1</v>
      </c>
      <c r="AAF363" s="113"/>
      <c r="AAG363" s="94"/>
      <c r="AAH363" s="94"/>
      <c r="AAI363" s="77"/>
      <c r="AAJ363" s="77"/>
      <c r="AAK363" s="77"/>
      <c r="AAL363" s="80"/>
      <c r="AAM363" s="113"/>
      <c r="AAN363"/>
      <c r="AAT363" s="23"/>
      <c r="AAU363" s="44"/>
    </row>
    <row r="364" spans="1:723" ht="15" customHeight="1" outlineLevel="2">
      <c r="A364" s="560"/>
      <c r="B364" s="410" t="str">
        <f>S.3rdHearingCity&amp;" hearing"</f>
        <v>Enter city name hearing</v>
      </c>
      <c r="C364" s="348"/>
      <c r="D364" s="278" t="s">
        <v>172</v>
      </c>
      <c r="E364" s="369">
        <f t="shared" si="959"/>
        <v>1</v>
      </c>
      <c r="F364" s="493">
        <f t="shared" ca="1" si="960"/>
        <v>88</v>
      </c>
      <c r="G364" s="456">
        <f>S.3rdHearingDate</f>
        <v>41502</v>
      </c>
      <c r="H364" s="457">
        <f>S.3rdHearingDate</f>
        <v>41502</v>
      </c>
      <c r="I364" s="629"/>
      <c r="J364" s="594"/>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90"/>
      <c r="AAD364" s="113"/>
      <c r="AAE364" s="553">
        <f t="shared" si="951"/>
        <v>1</v>
      </c>
      <c r="AAF364" s="113"/>
      <c r="AAG364" s="94"/>
      <c r="AAH364" s="94"/>
      <c r="AAI364" s="77"/>
      <c r="AAJ364" s="77"/>
      <c r="AAK364" s="77"/>
      <c r="AAL364" s="80"/>
      <c r="AAM364" s="113"/>
      <c r="AAN364"/>
      <c r="AAT364" s="23"/>
      <c r="AAU364" s="44"/>
    </row>
    <row r="365" spans="1:723" ht="15" customHeight="1" outlineLevel="2">
      <c r="A365" s="560"/>
      <c r="B365" s="410" t="str">
        <f>S.4thHearingCity&amp;" hearing"</f>
        <v>Enter city name hearing</v>
      </c>
      <c r="C365" s="348"/>
      <c r="D365" s="278" t="s">
        <v>172</v>
      </c>
      <c r="E365" s="369">
        <f t="shared" si="959"/>
        <v>1</v>
      </c>
      <c r="F365" s="493">
        <f t="shared" ca="1" si="960"/>
        <v>88</v>
      </c>
      <c r="G365" s="456">
        <f>S.4thHearingDate</f>
        <v>41502</v>
      </c>
      <c r="H365" s="457">
        <f>S.4thHearingDate</f>
        <v>41502</v>
      </c>
      <c r="I365" s="629"/>
      <c r="J365" s="594"/>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90"/>
      <c r="AAD365" s="113"/>
      <c r="AAE365" s="553">
        <f t="shared" si="951"/>
        <v>1</v>
      </c>
      <c r="AAF365" s="113"/>
      <c r="AAG365" s="94"/>
      <c r="AAH365" s="94"/>
      <c r="AAI365" s="77"/>
      <c r="AAJ365" s="77"/>
      <c r="AAK365" s="77"/>
      <c r="AAL365" s="80"/>
      <c r="AAM365" s="113"/>
      <c r="AAN365"/>
      <c r="AAT365" s="23"/>
      <c r="AAU365" s="44"/>
    </row>
    <row r="366" spans="1:723" ht="15" customHeight="1" outlineLevel="2">
      <c r="A366" s="560"/>
      <c r="B366" s="410" t="str">
        <f>S.5thHearingCity&amp;" hearing"</f>
        <v>Enter city name hearing</v>
      </c>
      <c r="C366" s="348"/>
      <c r="D366" s="278" t="s">
        <v>172</v>
      </c>
      <c r="E366" s="369">
        <f t="shared" si="959"/>
        <v>1</v>
      </c>
      <c r="F366" s="493">
        <f t="shared" ca="1" si="960"/>
        <v>88</v>
      </c>
      <c r="G366" s="456">
        <f>S.5thHearingDate</f>
        <v>41502</v>
      </c>
      <c r="H366" s="457">
        <f>S.5thHearingDate</f>
        <v>41502</v>
      </c>
      <c r="I366" s="629"/>
      <c r="J366" s="594"/>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90"/>
      <c r="AAD366" s="113"/>
      <c r="AAE366" s="553">
        <f t="shared" si="951"/>
        <v>1</v>
      </c>
      <c r="AAF366" s="113"/>
      <c r="AAG366" s="94"/>
      <c r="AAH366" s="94"/>
      <c r="AAI366" s="77"/>
      <c r="AAJ366" s="77"/>
      <c r="AAK366" s="77"/>
      <c r="AAL366" s="80"/>
      <c r="AAM366" s="113"/>
      <c r="AAN366"/>
      <c r="AAT366" s="23"/>
      <c r="AAU366" s="44"/>
    </row>
    <row r="367" spans="1:723" ht="15" customHeight="1" outlineLevel="2">
      <c r="A367" s="560"/>
      <c r="B367" s="410" t="str">
        <f>S.6thHearingCity&amp;" hearing"</f>
        <v>Enter city name hearing</v>
      </c>
      <c r="C367" s="348"/>
      <c r="D367" s="278" t="s">
        <v>172</v>
      </c>
      <c r="E367" s="369">
        <f t="shared" si="959"/>
        <v>1</v>
      </c>
      <c r="F367" s="493">
        <f t="shared" ca="1" si="960"/>
        <v>88</v>
      </c>
      <c r="G367" s="456">
        <f>S.6thHearingDate</f>
        <v>41502</v>
      </c>
      <c r="H367" s="457">
        <f>S.6thHearingDate</f>
        <v>41502</v>
      </c>
      <c r="I367" s="629"/>
      <c r="J367" s="594"/>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90"/>
      <c r="AAD367" s="113"/>
      <c r="AAE367" s="553">
        <f t="shared" si="951"/>
        <v>1</v>
      </c>
      <c r="AAF367" s="113"/>
      <c r="AAG367" s="94"/>
      <c r="AAH367" s="94"/>
      <c r="AAI367" s="77"/>
      <c r="AAJ367" s="77"/>
      <c r="AAK367" s="77"/>
      <c r="AAL367" s="80"/>
      <c r="AAM367" s="113"/>
      <c r="AAN367"/>
      <c r="AAT367" s="23"/>
      <c r="AAU367" s="44"/>
    </row>
    <row r="368" spans="1:723" ht="15" customHeight="1" outlineLevel="2">
      <c r="A368" s="560"/>
      <c r="B368" s="410" t="str">
        <f>S.7thHearingCity&amp;" hearing"</f>
        <v>Enter city name hearing</v>
      </c>
      <c r="C368" s="348"/>
      <c r="D368" s="278" t="s">
        <v>172</v>
      </c>
      <c r="E368" s="369">
        <f t="shared" si="959"/>
        <v>1</v>
      </c>
      <c r="F368" s="493">
        <f t="shared" ca="1" si="960"/>
        <v>88</v>
      </c>
      <c r="G368" s="456">
        <f>S.7thHearingDate</f>
        <v>41502</v>
      </c>
      <c r="H368" s="457">
        <f>S.7thHearingDate</f>
        <v>41502</v>
      </c>
      <c r="I368" s="629"/>
      <c r="J368" s="594"/>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90"/>
      <c r="AAD368" s="113"/>
      <c r="AAE368" s="553">
        <f t="shared" si="951"/>
        <v>1</v>
      </c>
      <c r="AAF368" s="113"/>
      <c r="AAG368" s="94"/>
      <c r="AAH368" s="94"/>
      <c r="AAI368" s="77"/>
      <c r="AAJ368" s="77"/>
      <c r="AAK368" s="77"/>
      <c r="AAL368" s="80"/>
      <c r="AAM368" s="113"/>
      <c r="AAN368"/>
      <c r="AAT368" s="23"/>
      <c r="AAU368" s="44"/>
    </row>
    <row r="369" spans="1:732" ht="15" customHeight="1" outlineLevel="1">
      <c r="A369" s="560"/>
      <c r="B369" s="411" t="str">
        <f>S.LastHearingCity&amp;" hearing"</f>
        <v>Enter city name hearing</v>
      </c>
      <c r="C369" s="348"/>
      <c r="D369" s="278" t="s">
        <v>172</v>
      </c>
      <c r="E369" s="369">
        <f t="shared" si="959"/>
        <v>1</v>
      </c>
      <c r="F369" s="493">
        <f t="shared" ca="1" si="960"/>
        <v>88</v>
      </c>
      <c r="G369" s="456">
        <f>S.LastHearingDate</f>
        <v>41502</v>
      </c>
      <c r="H369" s="457">
        <f>S.LastHearingDate</f>
        <v>41502</v>
      </c>
      <c r="I369" s="629"/>
      <c r="J369" s="594"/>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90"/>
      <c r="AAD369" s="113"/>
      <c r="AAE369" s="553">
        <f t="shared" si="951"/>
        <v>1</v>
      </c>
      <c r="AAF369" s="113"/>
      <c r="AAG369" s="94"/>
      <c r="AAH369" s="94"/>
      <c r="AAI369" s="94"/>
      <c r="AAJ369" s="57"/>
      <c r="AAK369" s="57"/>
      <c r="AAL369" s="80"/>
      <c r="AAM369" s="113"/>
      <c r="AAN369"/>
      <c r="AAT369" s="23"/>
      <c r="AAU369" s="44"/>
      <c r="AAV369" s="23"/>
      <c r="AAW369" s="23"/>
      <c r="AAX369" s="23"/>
      <c r="AAY369" s="23"/>
      <c r="AAZ369" s="23"/>
      <c r="ABA369" s="23"/>
      <c r="ABB369" s="23"/>
      <c r="ABC369" s="23"/>
      <c r="ABD369" s="23"/>
    </row>
    <row r="370" spans="1:732" ht="15" customHeight="1" outlineLevel="1">
      <c r="A370" s="560"/>
      <c r="B370" s="462" t="str">
        <f>AAL370</f>
        <v>Add info to COMMENTS</v>
      </c>
      <c r="C370" s="348"/>
      <c r="D370" s="278" t="s">
        <v>44</v>
      </c>
      <c r="E370" s="369">
        <f t="shared" si="959"/>
        <v>2</v>
      </c>
      <c r="F370" s="493">
        <f t="shared" ca="1" si="960"/>
        <v>89</v>
      </c>
      <c r="G370" s="450">
        <f t="shared" ref="G370:H376" si="961">AAG370</f>
        <v>41502</v>
      </c>
      <c r="H370" s="450">
        <f t="shared" si="961"/>
        <v>41505</v>
      </c>
      <c r="I370" s="629"/>
      <c r="J370" s="594"/>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90"/>
      <c r="AAD370" s="113"/>
      <c r="AAE370" s="553">
        <f t="shared" si="951"/>
        <v>1</v>
      </c>
      <c r="AAF370" s="113"/>
      <c r="AAG370" s="78">
        <f>S.LastHearingDate</f>
        <v>41502</v>
      </c>
      <c r="AAH370" s="78">
        <f>S.CloseComment</f>
        <v>41505</v>
      </c>
      <c r="AAI370" s="64"/>
      <c r="AAJ370" s="79"/>
      <c r="AAK370" s="79"/>
      <c r="AAL370" s="89" t="str">
        <f>"Add info to "&amp;S.CodeName&amp;"COMMENTS"</f>
        <v>Add info to COMMENTS</v>
      </c>
      <c r="AAM370" s="113"/>
      <c r="AAN370"/>
      <c r="AAT370" s="23"/>
      <c r="AAU370" s="44"/>
    </row>
    <row r="371" spans="1:732" s="23" customFormat="1" ht="15" customHeight="1" outlineLevel="1">
      <c r="A371" s="560" t="s">
        <v>247</v>
      </c>
      <c r="B371" s="462" t="str">
        <f>AAL371</f>
        <v>Add PO report to STAFF.RPT</v>
      </c>
      <c r="C371" s="169"/>
      <c r="D371" s="278" t="s">
        <v>44</v>
      </c>
      <c r="E371" s="369">
        <f t="shared" ref="E371" si="962">NETWORKDAYS(G371,H371,S.DDL_DEQClosed)</f>
        <v>2</v>
      </c>
      <c r="F371" s="493">
        <f t="shared" ref="F371" ca="1" si="963">NETWORKDAYS(TODAY(),H371)</f>
        <v>89</v>
      </c>
      <c r="G371" s="450">
        <f t="shared" ref="G371" si="964">AAG371</f>
        <v>41502</v>
      </c>
      <c r="H371" s="450">
        <f t="shared" ref="H371" si="965">AAH371</f>
        <v>41505</v>
      </c>
      <c r="I371" s="629"/>
      <c r="J371" s="594"/>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90"/>
      <c r="AAB371"/>
      <c r="AAC371"/>
      <c r="AAD371" s="113"/>
      <c r="AAE371" s="553">
        <f t="shared" si="951"/>
        <v>1</v>
      </c>
      <c r="AAF371" s="113"/>
      <c r="AAG371" s="78">
        <f>S.LastHearingDate</f>
        <v>41502</v>
      </c>
      <c r="AAH371" s="78">
        <f>S.CloseComment</f>
        <v>41505</v>
      </c>
      <c r="AAI371" s="64"/>
      <c r="AAJ371" s="77"/>
      <c r="AAK371" s="77"/>
      <c r="AAL371" s="89" t="str">
        <f>"Add PO report to "&amp;S.CodeName&amp;"STAFF.RPT"</f>
        <v>Add PO report to STAFF.RPT</v>
      </c>
      <c r="AAM371" s="113"/>
      <c r="AAU371" s="44"/>
    </row>
    <row r="372" spans="1:732" ht="18" customHeight="1" outlineLevel="1">
      <c r="A372" s="560"/>
      <c r="B372" s="300" t="s">
        <v>43</v>
      </c>
      <c r="C372" s="728"/>
      <c r="D372" s="198"/>
      <c r="E372" s="161"/>
      <c r="F372" s="161"/>
      <c r="G372" s="146"/>
      <c r="H372" s="660">
        <f>S.CloseComment</f>
        <v>41505</v>
      </c>
      <c r="I372" s="629"/>
      <c r="J372" s="594"/>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90"/>
      <c r="AAD372" s="113"/>
      <c r="AAE372" s="553">
        <f t="shared" ref="AAE372:AAE388" si="966">IF(S.InvolveNotice=TRUE,1,0)</f>
        <v>1</v>
      </c>
      <c r="AAF372" s="113"/>
      <c r="AAG372" s="78">
        <f>S.CloseComment</f>
        <v>41505</v>
      </c>
      <c r="AAH372" s="77"/>
      <c r="AAI372" s="77"/>
      <c r="AAJ372" s="79"/>
      <c r="AAK372" s="79"/>
      <c r="AAL372" s="57"/>
      <c r="AAM372" s="113"/>
      <c r="AAN372"/>
      <c r="AAT372" s="23"/>
      <c r="AAU372" s="44"/>
      <c r="AAV372" s="23"/>
      <c r="AAW372" s="23"/>
      <c r="AAX372" s="23"/>
      <c r="AAY372" s="23"/>
      <c r="AAZ372" s="23"/>
      <c r="ABA372" s="23"/>
      <c r="ABB372" s="23"/>
      <c r="ABC372" s="23"/>
      <c r="ABD372" s="23"/>
    </row>
    <row r="373" spans="1:732" s="23" customFormat="1" ht="15" customHeight="1" outlineLevel="1">
      <c r="A373" s="560"/>
      <c r="B373" s="463" t="s">
        <v>179</v>
      </c>
      <c r="C373" s="188"/>
      <c r="D373" s="189"/>
      <c r="E373" s="183"/>
      <c r="F373" s="183"/>
      <c r="G373" s="175"/>
      <c r="H373" s="154"/>
      <c r="I373" s="629"/>
      <c r="J373" s="594"/>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620"/>
      <c r="ZZ373" s="36"/>
      <c r="AAA373" s="590"/>
      <c r="AAB373"/>
      <c r="AAC373"/>
      <c r="AAD373" s="113"/>
      <c r="AAE373" s="553">
        <f t="shared" si="966"/>
        <v>1</v>
      </c>
      <c r="AAF373" s="585" t="s">
        <v>199</v>
      </c>
      <c r="AAG373" s="76"/>
      <c r="AAH373" s="77"/>
      <c r="AAI373" s="77"/>
      <c r="AAJ373" s="77"/>
      <c r="AAK373" s="77"/>
      <c r="AAL373" s="57"/>
      <c r="AAM373" s="113"/>
      <c r="AAU373" s="44"/>
      <c r="AAV373"/>
      <c r="AAW373"/>
      <c r="AAX373"/>
      <c r="AAY373"/>
      <c r="AAZ373"/>
      <c r="ABA373"/>
      <c r="ABB373"/>
      <c r="ABC373"/>
      <c r="ABD373"/>
    </row>
    <row r="374" spans="1:732" s="23" customFormat="1" ht="15" customHeight="1" outlineLevel="1">
      <c r="A374" s="560"/>
      <c r="B374" s="133" t="str">
        <f>AAL374</f>
        <v>Enter data into COMMENTS</v>
      </c>
      <c r="C374" s="729"/>
      <c r="D374" s="190"/>
      <c r="E374" s="155"/>
      <c r="F374" s="155"/>
      <c r="G374" s="154"/>
      <c r="H374" s="154"/>
      <c r="I374" s="590"/>
      <c r="J374" s="594"/>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20"/>
      <c r="ZZ374" s="36"/>
      <c r="AAA374" s="590"/>
      <c r="AAB374"/>
      <c r="AAC374"/>
      <c r="AAD374" s="113"/>
      <c r="AAE374" s="553">
        <f t="shared" si="966"/>
        <v>1</v>
      </c>
      <c r="AAF374" s="585" t="s">
        <v>199</v>
      </c>
      <c r="AAG374" s="76"/>
      <c r="AAH374" s="77"/>
      <c r="AAI374" s="77"/>
      <c r="AAJ374" s="77"/>
      <c r="AAK374" s="77"/>
      <c r="AAL374" s="89" t="str">
        <f>"Enter data into "&amp;S.CodeName&amp;"COMMENTS"</f>
        <v>Enter data into COMMENTS</v>
      </c>
      <c r="AAM374" s="113"/>
      <c r="AAU374" s="44"/>
      <c r="AAV374"/>
      <c r="AAW374"/>
      <c r="AAX374"/>
      <c r="AAY374"/>
      <c r="AAZ374"/>
      <c r="ABA374"/>
      <c r="ABB374"/>
      <c r="ABC374"/>
      <c r="ABD374"/>
    </row>
    <row r="375" spans="1:732" ht="15" customHeight="1" outlineLevel="1">
      <c r="A375" s="560"/>
      <c r="B375" s="412" t="s">
        <v>239</v>
      </c>
      <c r="C375" s="169"/>
      <c r="D375" s="278" t="s">
        <v>176</v>
      </c>
      <c r="E375" s="369">
        <f t="shared" ref="E375:E381" si="967">NETWORKDAYS(G375,H375,S.DDL_DEQClosed)</f>
        <v>41</v>
      </c>
      <c r="F375" s="493">
        <f t="shared" ref="F375:F385" ca="1" si="968">NETWORKDAYS(TODAY(),H375)</f>
        <v>105</v>
      </c>
      <c r="G375" s="450">
        <f>AAG375</f>
        <v>41470</v>
      </c>
      <c r="H375" s="450">
        <f t="shared" si="961"/>
        <v>41527</v>
      </c>
      <c r="I375" s="629"/>
      <c r="J375" s="594"/>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50"/>
      <c r="ZZ375" s="50"/>
      <c r="AAA375" s="590"/>
      <c r="AAD375" s="113"/>
      <c r="AAE375" s="553">
        <f t="shared" si="966"/>
        <v>1</v>
      </c>
      <c r="AAF375" s="113"/>
      <c r="AAG375" s="78">
        <f>S.PostNoticeToRegistry</f>
        <v>41470</v>
      </c>
      <c r="AAH375" s="78">
        <f>S.SubmitStaffRpt</f>
        <v>41527</v>
      </c>
      <c r="AAI375" s="77"/>
      <c r="AAJ375" s="79"/>
      <c r="AAK375" s="79"/>
      <c r="AAL375" s="80"/>
      <c r="AAM375" s="113"/>
      <c r="AAN375"/>
      <c r="AAT375" s="23"/>
      <c r="AAU375" s="44"/>
      <c r="AAV375" s="23"/>
      <c r="AAW375" s="23"/>
      <c r="AAX375" s="23"/>
      <c r="AAY375" s="23"/>
      <c r="AAZ375" s="23"/>
      <c r="ABA375" s="23"/>
      <c r="ABB375" s="23"/>
      <c r="ABC375" s="23"/>
      <c r="ABD375" s="23"/>
    </row>
    <row r="376" spans="1:732" ht="15" customHeight="1" outlineLevel="1">
      <c r="A376" s="560"/>
      <c r="B376" s="464" t="str">
        <f>AAL376</f>
        <v>Scan/Link COMMENTS.ID###.pdf</v>
      </c>
      <c r="C376" s="169"/>
      <c r="D376" s="278" t="s">
        <v>176</v>
      </c>
      <c r="E376" s="449">
        <f t="shared" si="967"/>
        <v>26</v>
      </c>
      <c r="F376" s="493">
        <f t="shared" ca="1" si="968"/>
        <v>105</v>
      </c>
      <c r="G376" s="450">
        <f>AAG376</f>
        <v>41491</v>
      </c>
      <c r="H376" s="450">
        <f t="shared" si="961"/>
        <v>41527</v>
      </c>
      <c r="I376" s="629"/>
      <c r="J376" s="594"/>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90"/>
      <c r="AAD376" s="113"/>
      <c r="AAE376" s="553">
        <f t="shared" si="966"/>
        <v>1</v>
      </c>
      <c r="AAF376" s="113"/>
      <c r="AAG376" s="78">
        <f>WORKDAY(S.PublicNoticeInBulletin+1,1,S.DDL_DEQClosed)</f>
        <v>41491</v>
      </c>
      <c r="AAH376" s="78">
        <f>S.SubmitStaffRpt</f>
        <v>41527</v>
      </c>
      <c r="AAI376" s="77"/>
      <c r="AAJ376" s="79"/>
      <c r="AAK376" s="79"/>
      <c r="AAL376" s="89" t="str">
        <f>"Scan/Link "&amp;S.CodeName&amp;"COMMENTS.ID###.pdf"</f>
        <v>Scan/Link COMMENTS.ID###.pdf</v>
      </c>
      <c r="AAM376" s="113"/>
      <c r="AAN376"/>
      <c r="AAT376" s="23"/>
      <c r="AAU376" s="44"/>
      <c r="AAV376" s="23"/>
      <c r="AAW376" s="23"/>
      <c r="AAX376" s="23"/>
      <c r="AAY376" s="23"/>
      <c r="AAZ376" s="23"/>
      <c r="ABA376" s="23"/>
      <c r="ABB376" s="23"/>
      <c r="ABC376" s="23"/>
      <c r="ABD376" s="23"/>
    </row>
    <row r="377" spans="1:732" s="23" customFormat="1" ht="15" customHeight="1" outlineLevel="1">
      <c r="A377" s="560"/>
      <c r="B377" s="463" t="s">
        <v>166</v>
      </c>
      <c r="C377" s="729" t="s">
        <v>0</v>
      </c>
      <c r="D377" s="190"/>
      <c r="E377" s="155"/>
      <c r="F377" s="155"/>
      <c r="G377" s="154"/>
      <c r="H377" s="154"/>
      <c r="I377" s="590"/>
      <c r="J377" s="594"/>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620"/>
      <c r="ZZ377" s="36"/>
      <c r="AAA377" s="590"/>
      <c r="AAB377"/>
      <c r="AAC377"/>
      <c r="AAD377" s="113"/>
      <c r="AAE377" s="553">
        <f t="shared" si="966"/>
        <v>1</v>
      </c>
      <c r="AAF377" s="585" t="s">
        <v>199</v>
      </c>
      <c r="AAG377" s="76"/>
      <c r="AAH377" s="76"/>
      <c r="AAI377" s="77"/>
      <c r="AAJ377" s="77"/>
      <c r="AAK377" s="77"/>
      <c r="AAL377" s="57"/>
      <c r="AAM377" s="113"/>
      <c r="AAU377" s="44"/>
    </row>
    <row r="378" spans="1:732" s="23" customFormat="1" ht="15" customHeight="1" outlineLevel="1">
      <c r="A378" s="560"/>
      <c r="B378" s="133" t="str">
        <f>AAL378</f>
        <v>Develop COMMENTS</v>
      </c>
      <c r="C378" s="729"/>
      <c r="D378" s="190"/>
      <c r="E378" s="155"/>
      <c r="F378" s="155"/>
      <c r="G378" s="154"/>
      <c r="H378" s="154"/>
      <c r="I378" s="590"/>
      <c r="J378" s="594"/>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20"/>
      <c r="ZZ378" s="36"/>
      <c r="AAA378" s="590"/>
      <c r="AAB378"/>
      <c r="AAC378"/>
      <c r="AAD378" s="113"/>
      <c r="AAE378" s="553">
        <f t="shared" si="966"/>
        <v>1</v>
      </c>
      <c r="AAF378" s="585" t="s">
        <v>199</v>
      </c>
      <c r="AAG378" s="76"/>
      <c r="AAH378" s="76"/>
      <c r="AAI378" s="77"/>
      <c r="AAJ378" s="77"/>
      <c r="AAK378" s="77"/>
      <c r="AAL378" s="89" t="str">
        <f>"Develop "&amp;S.CodeName&amp;"COMMENTS"</f>
        <v>Develop COMMENTS</v>
      </c>
      <c r="AAM378" s="113"/>
      <c r="AAU378" s="44"/>
    </row>
    <row r="379" spans="1:732" s="23" customFormat="1" ht="15" customHeight="1" outlineLevel="1">
      <c r="A379" s="560"/>
      <c r="B379" s="465" t="s">
        <v>205</v>
      </c>
      <c r="C379" s="169"/>
      <c r="D379" s="278" t="s">
        <v>167</v>
      </c>
      <c r="E379" s="449">
        <f t="shared" ref="E379" si="969">NETWORKDAYS(G379,H379,S.DDL_DEQClosed)</f>
        <v>26</v>
      </c>
      <c r="F379" s="493">
        <f t="shared" ref="F379" ca="1" si="970">NETWORKDAYS(TODAY(),H379)</f>
        <v>105</v>
      </c>
      <c r="G379" s="450">
        <f t="shared" ref="G379:G385" si="971">AAG379</f>
        <v>41491</v>
      </c>
      <c r="H379" s="450">
        <f t="shared" ref="H379:H385" si="972">AAH379</f>
        <v>41527</v>
      </c>
      <c r="I379" s="629"/>
      <c r="J379" s="594"/>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50"/>
      <c r="ZZ379" s="50"/>
      <c r="AAA379" s="590"/>
      <c r="AAB379"/>
      <c r="AAC379"/>
      <c r="AAD379" s="113"/>
      <c r="AAE379" s="553">
        <f t="shared" si="966"/>
        <v>1</v>
      </c>
      <c r="AAF379" s="113"/>
      <c r="AAG379" s="78">
        <f t="shared" ref="AAG379:AAG385" si="973">WORKDAY(S.PublicNoticeInBulletin+1,1,S.DDL_DEQClosed)</f>
        <v>41491</v>
      </c>
      <c r="AAH379" s="78">
        <f t="shared" ref="AAH379:AAH385" si="974">S.SubmitStaffRpt</f>
        <v>41527</v>
      </c>
      <c r="AAI379" s="77"/>
      <c r="AAJ379" s="80"/>
      <c r="AAK379" s="80"/>
      <c r="AAL379" s="57"/>
      <c r="AAM379" s="113"/>
      <c r="AAU379" s="44"/>
      <c r="AAV379"/>
      <c r="AAW379"/>
      <c r="AAX379"/>
      <c r="AAY379"/>
      <c r="AAZ379"/>
      <c r="ABA379"/>
      <c r="ABB379"/>
      <c r="ABC379"/>
      <c r="ABD379"/>
    </row>
    <row r="380" spans="1:732" s="23" customFormat="1" ht="15" customHeight="1" outlineLevel="1">
      <c r="A380" s="560"/>
      <c r="B380" s="465" t="s">
        <v>206</v>
      </c>
      <c r="C380" s="169"/>
      <c r="D380" s="278" t="s">
        <v>167</v>
      </c>
      <c r="E380" s="449">
        <f t="shared" ref="E380" si="975">NETWORKDAYS(G380,H380,S.DDL_DEQClosed)</f>
        <v>26</v>
      </c>
      <c r="F380" s="493">
        <f t="shared" ref="F380" ca="1" si="976">NETWORKDAYS(TODAY(),H380)</f>
        <v>105</v>
      </c>
      <c r="G380" s="450">
        <f t="shared" si="971"/>
        <v>41491</v>
      </c>
      <c r="H380" s="450">
        <f t="shared" si="972"/>
        <v>41527</v>
      </c>
      <c r="I380" s="629"/>
      <c r="J380" s="594"/>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90"/>
      <c r="AAB380"/>
      <c r="AAC380"/>
      <c r="AAD380" s="113"/>
      <c r="AAE380" s="553">
        <f t="shared" si="966"/>
        <v>1</v>
      </c>
      <c r="AAF380" s="113"/>
      <c r="AAG380" s="78">
        <f t="shared" si="973"/>
        <v>41491</v>
      </c>
      <c r="AAH380" s="78">
        <f t="shared" si="974"/>
        <v>41527</v>
      </c>
      <c r="AAI380" s="77"/>
      <c r="AAJ380" s="80"/>
      <c r="AAK380" s="80"/>
      <c r="AAL380" s="57"/>
      <c r="AAM380" s="113"/>
      <c r="AAU380" s="44"/>
      <c r="AAV380"/>
      <c r="AAW380"/>
      <c r="AAX380"/>
      <c r="AAY380"/>
      <c r="AAZ380"/>
      <c r="ABA380"/>
      <c r="ABB380"/>
      <c r="ABC380"/>
      <c r="ABD380"/>
    </row>
    <row r="381" spans="1:732" ht="15" customHeight="1" outlineLevel="1">
      <c r="A381" s="560"/>
      <c r="B381" s="466" t="s">
        <v>191</v>
      </c>
      <c r="C381" s="240"/>
      <c r="D381" s="278" t="s">
        <v>167</v>
      </c>
      <c r="E381" s="449">
        <f t="shared" si="967"/>
        <v>26</v>
      </c>
      <c r="F381" s="493">
        <f t="shared" ca="1" si="968"/>
        <v>105</v>
      </c>
      <c r="G381" s="450">
        <f t="shared" si="971"/>
        <v>41491</v>
      </c>
      <c r="H381" s="450">
        <f t="shared" si="972"/>
        <v>41527</v>
      </c>
      <c r="I381" s="629"/>
      <c r="J381" s="594"/>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90"/>
      <c r="AAD381" s="113"/>
      <c r="AAE381" s="553">
        <f t="shared" si="966"/>
        <v>1</v>
      </c>
      <c r="AAF381" s="113"/>
      <c r="AAG381" s="78">
        <f t="shared" si="973"/>
        <v>41491</v>
      </c>
      <c r="AAH381" s="78">
        <f t="shared" si="974"/>
        <v>41527</v>
      </c>
      <c r="AAI381" s="77"/>
      <c r="AAJ381" s="57"/>
      <c r="AAK381" s="57"/>
      <c r="AAL381" s="57"/>
      <c r="AAM381" s="113"/>
      <c r="AAN381"/>
      <c r="AAT381" s="23"/>
      <c r="AAU381" s="44"/>
    </row>
    <row r="382" spans="1:732" ht="15" customHeight="1" outlineLevel="1">
      <c r="A382" s="560"/>
      <c r="B382" s="425" t="s">
        <v>80</v>
      </c>
      <c r="C382" s="240"/>
      <c r="D382" s="280" t="s">
        <v>16</v>
      </c>
      <c r="E382" s="369">
        <f>NETWORKDAYS(G382,H382,S.DDL_DEQClosed)</f>
        <v>26</v>
      </c>
      <c r="F382" s="493">
        <f t="shared" ca="1" si="968"/>
        <v>105</v>
      </c>
      <c r="G382" s="450">
        <f t="shared" si="971"/>
        <v>41491</v>
      </c>
      <c r="H382" s="450">
        <f t="shared" si="972"/>
        <v>41527</v>
      </c>
      <c r="I382" s="629"/>
      <c r="J382" s="594"/>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90"/>
      <c r="AAD382" s="113"/>
      <c r="AAE382" s="553">
        <f t="shared" si="966"/>
        <v>1</v>
      </c>
      <c r="AAF382" s="113"/>
      <c r="AAG382" s="78">
        <f t="shared" si="973"/>
        <v>41491</v>
      </c>
      <c r="AAH382" s="78">
        <f t="shared" si="974"/>
        <v>41527</v>
      </c>
      <c r="AAI382" s="77"/>
      <c r="AAJ382" s="57"/>
      <c r="AAK382" s="57"/>
      <c r="AAL382" s="57"/>
      <c r="AAM382" s="113"/>
      <c r="AAN382"/>
      <c r="AAT382" s="23"/>
      <c r="AAU382" s="44"/>
    </row>
    <row r="383" spans="1:732" ht="15" customHeight="1" outlineLevel="1">
      <c r="A383" s="560"/>
      <c r="B383" s="426" t="s">
        <v>81</v>
      </c>
      <c r="C383" s="240"/>
      <c r="D383" s="280" t="s">
        <v>16</v>
      </c>
      <c r="E383" s="369">
        <f>NETWORKDAYS(G383,H383,S.DDL_DEQClosed)</f>
        <v>26</v>
      </c>
      <c r="F383" s="493">
        <f t="shared" ca="1" si="968"/>
        <v>105</v>
      </c>
      <c r="G383" s="450">
        <f t="shared" si="971"/>
        <v>41491</v>
      </c>
      <c r="H383" s="450">
        <f t="shared" si="972"/>
        <v>41527</v>
      </c>
      <c r="I383" s="629"/>
      <c r="J383" s="594"/>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90"/>
      <c r="AAD383" s="113"/>
      <c r="AAE383" s="553">
        <f t="shared" si="966"/>
        <v>1</v>
      </c>
      <c r="AAF383" s="113"/>
      <c r="AAG383" s="78">
        <f t="shared" si="973"/>
        <v>41491</v>
      </c>
      <c r="AAH383" s="78">
        <f t="shared" si="974"/>
        <v>41527</v>
      </c>
      <c r="AAI383" s="77"/>
      <c r="AAJ383" s="57"/>
      <c r="AAK383" s="57"/>
      <c r="AAL383" s="57"/>
      <c r="AAM383" s="113"/>
      <c r="AAN383"/>
      <c r="AAT383" s="23"/>
      <c r="AAU383" s="44"/>
    </row>
    <row r="384" spans="1:732" ht="15" customHeight="1" outlineLevel="1">
      <c r="A384" s="560"/>
      <c r="B384" s="427" t="s">
        <v>82</v>
      </c>
      <c r="C384" s="240"/>
      <c r="D384" s="280" t="s">
        <v>16</v>
      </c>
      <c r="E384" s="369">
        <f>NETWORKDAYS(G384,H384,S.DDL_DEQClosed)</f>
        <v>26</v>
      </c>
      <c r="F384" s="493">
        <f t="shared" ca="1" si="968"/>
        <v>105</v>
      </c>
      <c r="G384" s="450">
        <f t="shared" si="971"/>
        <v>41491</v>
      </c>
      <c r="H384" s="450">
        <f t="shared" si="972"/>
        <v>41527</v>
      </c>
      <c r="I384" s="629"/>
      <c r="J384" s="594"/>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90"/>
      <c r="AAD384" s="113"/>
      <c r="AAE384" s="553">
        <f t="shared" si="966"/>
        <v>1</v>
      </c>
      <c r="AAF384" s="113"/>
      <c r="AAG384" s="78">
        <f t="shared" si="973"/>
        <v>41491</v>
      </c>
      <c r="AAH384" s="78">
        <f t="shared" si="974"/>
        <v>41527</v>
      </c>
      <c r="AAI384" s="77"/>
      <c r="AAJ384" s="57"/>
      <c r="AAK384" s="57"/>
      <c r="AAL384" s="57"/>
      <c r="AAM384" s="113"/>
      <c r="AAN384"/>
      <c r="AAT384" s="23"/>
      <c r="AAU384" s="44"/>
    </row>
    <row r="385" spans="1:732" ht="15" customHeight="1" outlineLevel="1">
      <c r="A385" s="560"/>
      <c r="B385" s="428" t="s">
        <v>83</v>
      </c>
      <c r="C385" s="240"/>
      <c r="D385" s="280" t="s">
        <v>16</v>
      </c>
      <c r="E385" s="369">
        <f>NETWORKDAYS(G385,H385,S.DDL_DEQClosed)</f>
        <v>26</v>
      </c>
      <c r="F385" s="493">
        <f t="shared" ca="1" si="968"/>
        <v>105</v>
      </c>
      <c r="G385" s="450">
        <f t="shared" si="971"/>
        <v>41491</v>
      </c>
      <c r="H385" s="450">
        <f t="shared" si="972"/>
        <v>41527</v>
      </c>
      <c r="I385" s="629"/>
      <c r="J385" s="594"/>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90"/>
      <c r="AAD385" s="113"/>
      <c r="AAE385" s="553">
        <f t="shared" si="966"/>
        <v>1</v>
      </c>
      <c r="AAF385" s="113"/>
      <c r="AAG385" s="78">
        <f t="shared" si="973"/>
        <v>41491</v>
      </c>
      <c r="AAH385" s="78">
        <f t="shared" si="974"/>
        <v>41527</v>
      </c>
      <c r="AAI385" s="77"/>
      <c r="AAJ385" s="57"/>
      <c r="AAK385" s="57"/>
      <c r="AAL385" s="57"/>
      <c r="AAM385" s="113"/>
      <c r="AAN385"/>
      <c r="AAT385" s="23"/>
      <c r="AAU385" s="44"/>
    </row>
    <row r="386" spans="1:732" ht="96.75" customHeight="1" outlineLevel="1">
      <c r="A386" s="560"/>
      <c r="B386" s="747" t="s">
        <v>383</v>
      </c>
      <c r="C386" s="747"/>
      <c r="D386" s="747"/>
      <c r="E386" s="747"/>
      <c r="F386" s="747"/>
      <c r="G386" s="747"/>
      <c r="H386" s="747"/>
      <c r="I386" s="590"/>
      <c r="J386" s="594"/>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620"/>
      <c r="ZZ386" s="36"/>
      <c r="AAA386" s="590"/>
      <c r="AAD386" s="113"/>
      <c r="AAE386" s="553">
        <f t="shared" si="966"/>
        <v>1</v>
      </c>
      <c r="AAF386" s="585" t="s">
        <v>199</v>
      </c>
      <c r="AAG386" s="63"/>
      <c r="AAH386" s="63"/>
      <c r="AAI386" s="77"/>
      <c r="AAJ386" s="57"/>
      <c r="AAK386" s="57"/>
      <c r="AAL386" s="57"/>
      <c r="AAM386" s="113"/>
      <c r="AAN386"/>
      <c r="AAT386" s="23"/>
      <c r="AAU386" s="44"/>
    </row>
    <row r="387" spans="1:732" ht="15" customHeight="1" outlineLevel="1">
      <c r="A387" s="560"/>
      <c r="B387" s="396" t="s">
        <v>52</v>
      </c>
      <c r="C387" s="301"/>
      <c r="D387" s="282" t="s">
        <v>0</v>
      </c>
      <c r="E387" s="283"/>
      <c r="F387" s="283"/>
      <c r="G387" s="284"/>
      <c r="H387" s="284"/>
      <c r="I387" s="590"/>
      <c r="J387" s="594"/>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20"/>
      <c r="ZZ387" s="36"/>
      <c r="AAA387" s="590"/>
      <c r="AAD387" s="113"/>
      <c r="AAE387" s="553">
        <f t="shared" si="966"/>
        <v>1</v>
      </c>
      <c r="AAF387" s="585" t="s">
        <v>199</v>
      </c>
      <c r="AAG387" s="63"/>
      <c r="AAH387" s="63"/>
      <c r="AAI387" s="77"/>
      <c r="AAJ387" s="57"/>
      <c r="AAK387" s="57"/>
      <c r="AAL387" s="57"/>
      <c r="AAM387" s="113"/>
      <c r="AAN387"/>
      <c r="AAT387" s="23"/>
      <c r="AAU387" s="44"/>
    </row>
    <row r="388" spans="1:732" ht="15" customHeight="1" outlineLevel="1">
      <c r="A388" s="560"/>
      <c r="B388" s="344" t="s">
        <v>159</v>
      </c>
      <c r="C388" s="169"/>
      <c r="D388" s="278" t="s">
        <v>176</v>
      </c>
      <c r="E388" s="449">
        <f t="shared" ref="E388" si="977">NETWORKDAYS(G388,H388,S.DDL_DEQClosed)</f>
        <v>1</v>
      </c>
      <c r="F388" s="493">
        <f t="shared" ref="F388" ca="1" si="978">NETWORKDAYS(TODAY(),H388)</f>
        <v>105</v>
      </c>
      <c r="G388" s="450">
        <f t="shared" ref="G388:H388" si="979">AAG388</f>
        <v>41527</v>
      </c>
      <c r="H388" s="456">
        <f t="shared" si="979"/>
        <v>41527</v>
      </c>
      <c r="I388" s="629"/>
      <c r="J388" s="594"/>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50"/>
      <c r="ZZ388" s="50"/>
      <c r="AAA388" s="590"/>
      <c r="AAD388" s="113"/>
      <c r="AAE388" s="553">
        <f t="shared" si="966"/>
        <v>1</v>
      </c>
      <c r="AAF388" s="113"/>
      <c r="AAG388" s="78">
        <f>H385</f>
        <v>41527</v>
      </c>
      <c r="AAH388" s="78">
        <f>G388</f>
        <v>41527</v>
      </c>
      <c r="AAI388" s="77"/>
      <c r="AAJ388" s="57"/>
      <c r="AAK388" s="57"/>
      <c r="AAL388" s="57"/>
      <c r="AAM388" s="113"/>
      <c r="AAN388"/>
      <c r="AAT388" s="23"/>
      <c r="AAU388" s="44"/>
    </row>
    <row r="389" spans="1:732" ht="6" customHeight="1">
      <c r="A389" s="560"/>
      <c r="B389" s="145"/>
      <c r="C389" s="697"/>
      <c r="D389" s="146"/>
      <c r="E389" s="147"/>
      <c r="F389" s="147"/>
      <c r="G389" s="146"/>
      <c r="H389" s="146"/>
      <c r="I389" s="590"/>
      <c r="J389" s="594"/>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620"/>
      <c r="ZZ389" s="36"/>
      <c r="AAA389" s="590"/>
      <c r="AAD389" s="113"/>
      <c r="AAE389" s="553" t="s">
        <v>28</v>
      </c>
      <c r="AAF389" s="585" t="s">
        <v>199</v>
      </c>
      <c r="AAG389" s="63"/>
      <c r="AAH389" s="63"/>
      <c r="AAI389" s="77"/>
      <c r="AAJ389" s="57"/>
      <c r="AAK389" s="57"/>
      <c r="AAL389" s="57"/>
      <c r="AAM389" s="113"/>
      <c r="AAN389"/>
      <c r="AAT389" s="23"/>
      <c r="AAU389" s="44"/>
    </row>
    <row r="390" spans="1:732" s="23" customFormat="1" ht="18" customHeight="1">
      <c r="A390" s="560"/>
      <c r="B390" s="745" t="s">
        <v>102</v>
      </c>
      <c r="C390" s="745"/>
      <c r="D390" s="745"/>
      <c r="E390" s="745"/>
      <c r="F390" s="745"/>
      <c r="G390" s="745"/>
      <c r="H390" s="745"/>
      <c r="I390" s="629"/>
      <c r="J390" s="595"/>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M390" s="48"/>
      <c r="EN390" s="48"/>
      <c r="EO390" s="48"/>
      <c r="EP390" s="48"/>
      <c r="EQ390" s="48"/>
      <c r="ER390" s="48"/>
      <c r="ES390" s="48"/>
      <c r="ET390" s="48"/>
      <c r="EU390" s="48"/>
      <c r="EV390" s="48"/>
      <c r="EW390" s="48"/>
      <c r="EX390" s="48"/>
      <c r="EY390" s="48"/>
      <c r="EZ390" s="48"/>
      <c r="FA390" s="48"/>
      <c r="FB390" s="48"/>
      <c r="FC390" s="48"/>
      <c r="FD390" s="48"/>
      <c r="FE390" s="48"/>
      <c r="FF390" s="48"/>
      <c r="FG390" s="48"/>
      <c r="FH390" s="48"/>
      <c r="FI390" s="48"/>
      <c r="FJ390" s="48"/>
      <c r="FK390" s="48"/>
      <c r="FL390" s="48"/>
      <c r="FM390" s="48"/>
      <c r="FN390" s="48"/>
      <c r="FO390" s="48"/>
      <c r="FP390" s="48"/>
      <c r="FQ390" s="48"/>
      <c r="FR390" s="48"/>
      <c r="FS390" s="48"/>
      <c r="FT390" s="48"/>
      <c r="FU390" s="48"/>
      <c r="FV390" s="48"/>
      <c r="FW390" s="48"/>
      <c r="FX390" s="48"/>
      <c r="FY390" s="48"/>
      <c r="FZ390" s="48"/>
      <c r="GA390" s="48"/>
      <c r="GB390" s="48"/>
      <c r="GC390" s="48"/>
      <c r="GD390" s="48"/>
      <c r="GE390" s="48"/>
      <c r="GF390" s="48"/>
      <c r="GG390" s="48"/>
      <c r="GH390" s="48"/>
      <c r="GI390" s="48"/>
      <c r="GJ390" s="48"/>
      <c r="GK390" s="48"/>
      <c r="GL390" s="48"/>
      <c r="GM390" s="48"/>
      <c r="GN390" s="48"/>
      <c r="GO390" s="48"/>
      <c r="GP390" s="48"/>
      <c r="GQ390" s="48"/>
      <c r="GR390" s="48"/>
      <c r="GS390" s="48"/>
      <c r="GT390" s="48"/>
      <c r="GU390" s="48"/>
      <c r="GV390" s="48"/>
      <c r="GW390" s="48"/>
      <c r="GX390" s="48"/>
      <c r="GY390" s="48"/>
      <c r="GZ390" s="48"/>
      <c r="HA390" s="48"/>
      <c r="HB390" s="48"/>
      <c r="HC390" s="48"/>
      <c r="HD390" s="48"/>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c r="JI390" s="48"/>
      <c r="JJ390" s="48"/>
      <c r="JK390" s="48"/>
      <c r="JL390" s="48"/>
      <c r="JM390" s="48"/>
      <c r="JN390" s="48"/>
      <c r="JO390" s="48"/>
      <c r="JP390" s="48"/>
      <c r="JQ390" s="48"/>
      <c r="JR390" s="48"/>
      <c r="JS390" s="48"/>
      <c r="JT390" s="48"/>
      <c r="JU390" s="48"/>
      <c r="JV390" s="48"/>
      <c r="JW390" s="48"/>
      <c r="JX390" s="48"/>
      <c r="JY390" s="48"/>
      <c r="JZ390" s="48"/>
      <c r="KA390" s="48"/>
      <c r="KB390" s="48"/>
      <c r="KC390" s="48"/>
      <c r="KD390" s="48"/>
      <c r="KE390" s="48"/>
      <c r="KF390" s="48"/>
      <c r="KG390" s="48"/>
      <c r="KH390" s="48"/>
      <c r="KI390" s="48"/>
      <c r="KJ390" s="48"/>
      <c r="KK390" s="48"/>
      <c r="KL390" s="48"/>
      <c r="KM390" s="48"/>
      <c r="KN390" s="48"/>
      <c r="KO390" s="48"/>
      <c r="KP390" s="48"/>
      <c r="KQ390" s="48"/>
      <c r="KR390" s="48"/>
      <c r="KS390" s="48"/>
      <c r="KT390" s="48"/>
      <c r="KU390" s="48"/>
      <c r="KV390" s="48"/>
      <c r="KW390" s="48"/>
      <c r="KX390" s="48"/>
      <c r="KY390" s="48"/>
      <c r="KZ390" s="48"/>
      <c r="LA390" s="48"/>
      <c r="LB390" s="48"/>
      <c r="LC390" s="48"/>
      <c r="LD390" s="48"/>
      <c r="LE390" s="48"/>
      <c r="LF390" s="48"/>
      <c r="LG390" s="48"/>
      <c r="LH390" s="48"/>
      <c r="LI390" s="48"/>
      <c r="LJ390" s="48"/>
      <c r="LK390" s="48"/>
      <c r="LL390" s="48"/>
      <c r="LM390" s="48"/>
      <c r="LN390" s="48"/>
      <c r="LO390" s="48"/>
      <c r="LP390" s="48"/>
      <c r="LQ390" s="48"/>
      <c r="LR390" s="48"/>
      <c r="LS390" s="48"/>
      <c r="LT390" s="48"/>
      <c r="LU390" s="48"/>
      <c r="LV390" s="48"/>
      <c r="LW390" s="48"/>
      <c r="LX390" s="48"/>
      <c r="LY390" s="48"/>
      <c r="LZ390" s="48"/>
      <c r="MA390" s="48"/>
      <c r="MB390" s="48"/>
      <c r="MC390" s="48"/>
      <c r="MD390" s="48"/>
      <c r="ME390" s="48"/>
      <c r="MF390" s="48"/>
      <c r="MG390" s="48"/>
      <c r="MH390" s="48"/>
      <c r="MI390" s="48"/>
      <c r="MJ390" s="48"/>
      <c r="MK390" s="48"/>
      <c r="ML390" s="48"/>
      <c r="MM390" s="48"/>
      <c r="MN390" s="48"/>
      <c r="MO390" s="48"/>
      <c r="MP390" s="48"/>
      <c r="MQ390" s="48"/>
      <c r="MR390" s="48"/>
      <c r="MS390" s="48"/>
      <c r="MT390" s="48"/>
      <c r="MU390" s="48"/>
      <c r="MV390" s="48"/>
      <c r="MW390" s="48"/>
      <c r="MX390" s="48"/>
      <c r="MY390" s="48"/>
      <c r="MZ390" s="48"/>
      <c r="NA390" s="48"/>
      <c r="NB390" s="48"/>
      <c r="NC390" s="48"/>
      <c r="ND390" s="48"/>
      <c r="NE390" s="48"/>
      <c r="NF390" s="48"/>
      <c r="NG390" s="48"/>
      <c r="NH390" s="48"/>
      <c r="NI390" s="48"/>
      <c r="NJ390" s="48"/>
      <c r="NK390" s="48"/>
      <c r="NL390" s="48"/>
      <c r="NM390" s="48"/>
      <c r="NN390" s="48"/>
      <c r="NO390" s="48"/>
      <c r="NP390" s="48"/>
      <c r="NQ390" s="48"/>
      <c r="NR390" s="48"/>
      <c r="NS390" s="48"/>
      <c r="NT390" s="48"/>
      <c r="NU390" s="48"/>
      <c r="NV390" s="48"/>
      <c r="NW390" s="48"/>
      <c r="NX390" s="48"/>
      <c r="NY390" s="48"/>
      <c r="NZ390" s="48"/>
      <c r="OA390" s="48"/>
      <c r="OB390" s="48"/>
      <c r="OC390" s="48"/>
      <c r="OD390" s="48"/>
      <c r="OE390" s="48"/>
      <c r="OF390" s="48"/>
      <c r="OG390" s="48"/>
      <c r="OH390" s="48"/>
      <c r="OI390" s="48"/>
      <c r="OJ390" s="48"/>
      <c r="OK390" s="48"/>
      <c r="OL390" s="48"/>
      <c r="OM390" s="48"/>
      <c r="ON390" s="48"/>
      <c r="OO390" s="48"/>
      <c r="OP390" s="48"/>
      <c r="OQ390" s="48"/>
      <c r="OR390" s="48"/>
      <c r="OS390" s="48"/>
      <c r="OT390" s="48"/>
      <c r="OU390" s="48"/>
      <c r="OV390" s="48"/>
      <c r="OW390" s="48"/>
      <c r="OX390" s="48"/>
      <c r="OY390" s="48"/>
      <c r="OZ390" s="48"/>
      <c r="PA390" s="48"/>
      <c r="PB390" s="48"/>
      <c r="PC390" s="48"/>
      <c r="PD390" s="48"/>
      <c r="PE390" s="48"/>
      <c r="PF390" s="48"/>
      <c r="PG390" s="48"/>
      <c r="PH390" s="48"/>
      <c r="PI390" s="48"/>
      <c r="PJ390" s="48"/>
      <c r="PK390" s="48"/>
      <c r="PL390" s="48"/>
      <c r="PM390" s="48"/>
      <c r="PN390" s="48"/>
      <c r="PO390" s="48"/>
      <c r="PP390" s="48"/>
      <c r="PQ390" s="48"/>
      <c r="PR390" s="48"/>
      <c r="PS390" s="48"/>
      <c r="PT390" s="48"/>
      <c r="PU390" s="48"/>
      <c r="PV390" s="48"/>
      <c r="PW390" s="48"/>
      <c r="PX390" s="48"/>
      <c r="PY390" s="48"/>
      <c r="PZ390" s="48"/>
      <c r="QA390" s="48"/>
      <c r="QB390" s="48"/>
      <c r="QC390" s="48"/>
      <c r="QD390" s="48"/>
      <c r="QE390" s="48"/>
      <c r="QF390" s="48"/>
      <c r="QG390" s="48"/>
      <c r="QH390" s="48"/>
      <c r="QI390" s="48"/>
      <c r="QJ390" s="48"/>
      <c r="QK390" s="48"/>
      <c r="QL390" s="48"/>
      <c r="QM390" s="48"/>
      <c r="QN390" s="48"/>
      <c r="QO390" s="48"/>
      <c r="QP390" s="48"/>
      <c r="QQ390" s="48"/>
      <c r="QR390" s="48"/>
      <c r="QS390" s="48"/>
      <c r="QT390" s="48"/>
      <c r="QU390" s="48"/>
      <c r="QV390" s="48"/>
      <c r="QW390" s="48"/>
      <c r="QX390" s="48"/>
      <c r="QY390" s="48"/>
      <c r="QZ390" s="48"/>
      <c r="RA390" s="48"/>
      <c r="RB390" s="48"/>
      <c r="RC390" s="48"/>
      <c r="RD390" s="48"/>
      <c r="RE390" s="48"/>
      <c r="RF390" s="48"/>
      <c r="RG390" s="48"/>
      <c r="RH390" s="48"/>
      <c r="RI390" s="48"/>
      <c r="RJ390" s="48"/>
      <c r="RK390" s="48"/>
      <c r="RL390" s="48"/>
      <c r="RM390" s="48"/>
      <c r="RN390" s="48"/>
      <c r="RO390" s="48"/>
      <c r="RP390" s="48"/>
      <c r="RQ390" s="48"/>
      <c r="RR390" s="48"/>
      <c r="RS390" s="48"/>
      <c r="RT390" s="48"/>
      <c r="RU390" s="48"/>
      <c r="RV390" s="48"/>
      <c r="RW390" s="48"/>
      <c r="RX390" s="48"/>
      <c r="RY390" s="48"/>
      <c r="RZ390" s="48"/>
      <c r="SA390" s="48"/>
      <c r="SB390" s="48"/>
      <c r="SC390" s="48"/>
      <c r="SD390" s="48"/>
      <c r="SE390" s="48"/>
      <c r="SF390" s="48"/>
      <c r="SG390" s="48"/>
      <c r="SH390" s="48"/>
      <c r="SI390" s="48"/>
      <c r="SJ390" s="48"/>
      <c r="SK390" s="48"/>
      <c r="SL390" s="48"/>
      <c r="SM390" s="48"/>
      <c r="SN390" s="48"/>
      <c r="SO390" s="48"/>
      <c r="SP390" s="48"/>
      <c r="SQ390" s="48"/>
      <c r="SR390" s="48"/>
      <c r="SS390" s="48"/>
      <c r="ST390" s="48"/>
      <c r="SU390" s="48"/>
      <c r="SV390" s="48"/>
      <c r="SW390" s="48"/>
      <c r="SX390" s="48"/>
      <c r="SY390" s="48"/>
      <c r="SZ390" s="48"/>
      <c r="TA390" s="48"/>
      <c r="TB390" s="48"/>
      <c r="TC390" s="48"/>
      <c r="TD390" s="48"/>
      <c r="TE390" s="48"/>
      <c r="TF390" s="48"/>
      <c r="TG390" s="48"/>
      <c r="TH390" s="48"/>
      <c r="TI390" s="48"/>
      <c r="TJ390" s="48"/>
      <c r="TK390" s="48"/>
      <c r="TL390" s="48"/>
      <c r="TM390" s="48"/>
      <c r="TN390" s="48"/>
      <c r="TO390" s="48"/>
      <c r="TP390" s="48"/>
      <c r="TQ390" s="48"/>
      <c r="TR390" s="48"/>
      <c r="TS390" s="48"/>
      <c r="TT390" s="48"/>
      <c r="TU390" s="48"/>
      <c r="TV390" s="48"/>
      <c r="TW390" s="48"/>
      <c r="TX390" s="48"/>
      <c r="TY390" s="48"/>
      <c r="TZ390" s="48"/>
      <c r="UA390" s="48"/>
      <c r="UB390" s="48"/>
      <c r="UC390" s="48"/>
      <c r="UD390" s="48"/>
      <c r="UE390" s="48"/>
      <c r="UF390" s="48"/>
      <c r="UG390" s="48"/>
      <c r="UH390" s="48"/>
      <c r="UI390" s="48"/>
      <c r="UJ390" s="48"/>
      <c r="UK390" s="48"/>
      <c r="UL390" s="48"/>
      <c r="UM390" s="48"/>
      <c r="UN390" s="48"/>
      <c r="UO390" s="48"/>
      <c r="UP390" s="48"/>
      <c r="UQ390" s="48"/>
      <c r="UR390" s="48"/>
      <c r="US390" s="48"/>
      <c r="UT390" s="48"/>
      <c r="UU390" s="48"/>
      <c r="UV390" s="48"/>
      <c r="UW390" s="48"/>
      <c r="UX390" s="48"/>
      <c r="UY390" s="48"/>
      <c r="UZ390" s="48"/>
      <c r="VA390" s="48"/>
      <c r="VB390" s="48"/>
      <c r="VC390" s="48"/>
      <c r="VD390" s="48"/>
      <c r="VE390" s="48"/>
      <c r="VF390" s="48"/>
      <c r="VG390" s="48"/>
      <c r="VH390" s="48"/>
      <c r="VI390" s="48"/>
      <c r="VJ390" s="48"/>
      <c r="VK390" s="48"/>
      <c r="VL390" s="48"/>
      <c r="VM390" s="48"/>
      <c r="VN390" s="48"/>
      <c r="VO390" s="48"/>
      <c r="VP390" s="48"/>
      <c r="VQ390" s="48"/>
      <c r="VR390" s="48"/>
      <c r="VS390" s="48"/>
      <c r="VT390" s="48"/>
      <c r="VU390" s="48"/>
      <c r="VV390" s="48"/>
      <c r="VW390" s="48"/>
      <c r="VX390" s="48"/>
      <c r="VY390" s="48"/>
      <c r="VZ390" s="48"/>
      <c r="WA390" s="48"/>
      <c r="WB390" s="48"/>
      <c r="WC390" s="48"/>
      <c r="WD390" s="48"/>
      <c r="WE390" s="48"/>
      <c r="WF390" s="48"/>
      <c r="WG390" s="48"/>
      <c r="WH390" s="48"/>
      <c r="WI390" s="48"/>
      <c r="WJ390" s="48"/>
      <c r="WK390" s="48"/>
      <c r="WL390" s="48"/>
      <c r="WM390" s="48"/>
      <c r="WN390" s="48"/>
      <c r="WO390" s="48"/>
      <c r="WP390" s="48"/>
      <c r="WQ390" s="48"/>
      <c r="WR390" s="48"/>
      <c r="WS390" s="48"/>
      <c r="WT390" s="48"/>
      <c r="WU390" s="48"/>
      <c r="WV390" s="48"/>
      <c r="WW390" s="48"/>
      <c r="WX390" s="48"/>
      <c r="WY390" s="48"/>
      <c r="WZ390" s="48"/>
      <c r="XA390" s="48"/>
      <c r="XB390" s="48"/>
      <c r="XC390" s="48"/>
      <c r="XD390" s="48"/>
      <c r="XE390" s="48"/>
      <c r="XF390" s="48"/>
      <c r="XG390" s="48"/>
      <c r="XH390" s="48"/>
      <c r="XI390" s="48"/>
      <c r="XJ390" s="48"/>
      <c r="XK390" s="48"/>
      <c r="XL390" s="48"/>
      <c r="XM390" s="48"/>
      <c r="XN390" s="48"/>
      <c r="XO390" s="48"/>
      <c r="XP390" s="48"/>
      <c r="XQ390" s="48"/>
      <c r="XR390" s="48"/>
      <c r="XS390" s="48"/>
      <c r="XT390" s="48"/>
      <c r="XU390" s="48"/>
      <c r="XV390" s="48"/>
      <c r="XW390" s="48"/>
      <c r="XX390" s="48"/>
      <c r="XY390" s="48"/>
      <c r="XZ390" s="48"/>
      <c r="YA390" s="48"/>
      <c r="YB390" s="48"/>
      <c r="YC390" s="48"/>
      <c r="YD390" s="48"/>
      <c r="YE390" s="48"/>
      <c r="YF390" s="48"/>
      <c r="YG390" s="48"/>
      <c r="YH390" s="48"/>
      <c r="YI390" s="48"/>
      <c r="YJ390" s="48"/>
      <c r="YK390" s="48"/>
      <c r="YL390" s="48"/>
      <c r="YM390" s="48"/>
      <c r="YN390" s="48"/>
      <c r="YO390" s="48"/>
      <c r="YP390" s="48"/>
      <c r="YQ390" s="48"/>
      <c r="YR390" s="48"/>
      <c r="YS390" s="48"/>
      <c r="YT390" s="48"/>
      <c r="YU390" s="48"/>
      <c r="YV390" s="48"/>
      <c r="YW390" s="48"/>
      <c r="YX390" s="48"/>
      <c r="YY390" s="48"/>
      <c r="YZ390" s="48"/>
      <c r="ZA390" s="48"/>
      <c r="ZB390" s="48"/>
      <c r="ZC390" s="48"/>
      <c r="ZD390" s="48"/>
      <c r="ZE390" s="48"/>
      <c r="ZF390" s="48"/>
      <c r="ZG390" s="48"/>
      <c r="ZH390" s="48"/>
      <c r="ZI390" s="48"/>
      <c r="ZJ390" s="48"/>
      <c r="ZK390" s="48"/>
      <c r="ZL390" s="48"/>
      <c r="ZM390" s="48"/>
      <c r="ZN390" s="48"/>
      <c r="ZO390" s="48"/>
      <c r="ZP390" s="48"/>
      <c r="ZQ390" s="48"/>
      <c r="ZR390" s="48"/>
      <c r="ZS390" s="48"/>
      <c r="ZT390" s="48"/>
      <c r="ZU390" s="48"/>
      <c r="ZV390" s="48"/>
      <c r="ZW390" s="48"/>
      <c r="ZX390" s="48"/>
      <c r="ZY390" s="621"/>
      <c r="ZZ390" s="120"/>
      <c r="AAA390" s="590"/>
      <c r="AAB390"/>
      <c r="AAC390"/>
      <c r="AAD390" s="113"/>
      <c r="AAE390" s="553" t="s">
        <v>29</v>
      </c>
      <c r="AAF390" s="585" t="s">
        <v>199</v>
      </c>
      <c r="AAG390" s="113"/>
      <c r="AAH390" s="113"/>
      <c r="AAI390" s="77"/>
      <c r="AAJ390" s="90"/>
      <c r="AAK390" s="90"/>
      <c r="AAL390" s="76"/>
      <c r="AAM390" s="113"/>
      <c r="AAU390" s="44"/>
    </row>
    <row r="391" spans="1:732" s="23" customFormat="1" ht="18" customHeight="1">
      <c r="A391" s="560"/>
      <c r="B391" s="302" t="s">
        <v>15</v>
      </c>
      <c r="C391" s="711"/>
      <c r="D391" s="151" t="s">
        <v>272</v>
      </c>
      <c r="E391" s="152" t="s">
        <v>15</v>
      </c>
      <c r="F391" s="489" t="s">
        <v>2</v>
      </c>
      <c r="G391" s="153" t="s">
        <v>90</v>
      </c>
      <c r="H391" s="153" t="s">
        <v>91</v>
      </c>
      <c r="I391" s="629"/>
      <c r="J391" s="595"/>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21"/>
      <c r="ZZ391" s="120"/>
      <c r="AAA391" s="590"/>
      <c r="AAB391"/>
      <c r="AAC391"/>
      <c r="AAD391" s="113"/>
      <c r="AAE391" s="553" t="s">
        <v>276</v>
      </c>
      <c r="AAF391" s="585" t="s">
        <v>199</v>
      </c>
      <c r="AAG391" s="113"/>
      <c r="AAH391" s="113"/>
      <c r="AAI391" s="77"/>
      <c r="AAJ391" s="90"/>
      <c r="AAK391" s="90"/>
      <c r="AAL391" s="76"/>
      <c r="AAM391" s="113"/>
      <c r="AAU391" s="44"/>
    </row>
    <row r="392" spans="1:732" ht="18" customHeight="1">
      <c r="A392" s="560"/>
      <c r="B392" s="224"/>
      <c r="C392" s="225"/>
      <c r="D392" s="226"/>
      <c r="E392" s="294"/>
      <c r="F392" s="467">
        <f>NETWORKDAYS(S.BANNER.EQCStart,S.BANNER.EQCEnd,S.DDL_DEQClosed)</f>
        <v>67</v>
      </c>
      <c r="G392" s="303">
        <f>AAG392</f>
        <v>41470</v>
      </c>
      <c r="H392" s="304">
        <f>AAH392</f>
        <v>41563</v>
      </c>
      <c r="I392" s="629"/>
      <c r="J392" s="631"/>
      <c r="K392" s="637"/>
      <c r="L392" s="637"/>
      <c r="M392" s="637"/>
      <c r="N392" s="637"/>
      <c r="O392" s="637"/>
      <c r="P392" s="637"/>
      <c r="Q392" s="637"/>
      <c r="R392" s="637"/>
      <c r="S392" s="637"/>
      <c r="T392" s="637"/>
      <c r="U392" s="637"/>
      <c r="V392" s="637"/>
      <c r="W392" s="637"/>
      <c r="X392" s="637"/>
      <c r="Y392" s="637"/>
      <c r="Z392" s="637"/>
      <c r="AA392" s="637"/>
      <c r="AB392" s="637"/>
      <c r="AC392" s="637"/>
      <c r="AD392" s="637"/>
      <c r="AE392" s="637"/>
      <c r="AF392" s="637"/>
      <c r="AG392" s="637"/>
      <c r="AH392" s="637"/>
      <c r="AI392" s="637"/>
      <c r="AJ392" s="637"/>
      <c r="AK392" s="637"/>
      <c r="AL392" s="637"/>
      <c r="AM392" s="637"/>
      <c r="AN392" s="637"/>
      <c r="AO392" s="637"/>
      <c r="AP392" s="637"/>
      <c r="AQ392" s="637"/>
      <c r="AR392" s="637"/>
      <c r="AS392" s="637"/>
      <c r="AT392" s="637"/>
      <c r="AU392" s="637"/>
      <c r="AV392" s="637"/>
      <c r="AW392" s="637"/>
      <c r="AX392" s="637"/>
      <c r="AY392" s="637"/>
      <c r="AZ392" s="637"/>
      <c r="BA392" s="637"/>
      <c r="BB392" s="637"/>
      <c r="BC392" s="637"/>
      <c r="BD392" s="637"/>
      <c r="BE392" s="637"/>
      <c r="BF392" s="637"/>
      <c r="BG392" s="637"/>
      <c r="BH392" s="637"/>
      <c r="BI392" s="637"/>
      <c r="BJ392" s="637"/>
      <c r="BK392" s="637"/>
      <c r="BL392" s="637"/>
      <c r="BM392" s="637"/>
      <c r="BN392" s="637"/>
      <c r="BO392" s="637"/>
      <c r="BP392" s="637"/>
      <c r="BQ392" s="637"/>
      <c r="BR392" s="637"/>
      <c r="BS392" s="637"/>
      <c r="BT392" s="637"/>
      <c r="BU392" s="637"/>
      <c r="BV392" s="637"/>
      <c r="BW392" s="637"/>
      <c r="BX392" s="637"/>
      <c r="BY392" s="637"/>
      <c r="BZ392" s="637"/>
      <c r="CA392" s="637"/>
      <c r="CB392" s="637"/>
      <c r="CC392" s="637"/>
      <c r="CD392" s="637"/>
      <c r="CE392" s="637"/>
      <c r="CF392" s="637"/>
      <c r="CG392" s="637"/>
      <c r="CH392" s="637"/>
      <c r="CI392" s="637"/>
      <c r="CJ392" s="637"/>
      <c r="CK392" s="637"/>
      <c r="CL392" s="637"/>
      <c r="CM392" s="637"/>
      <c r="CN392" s="637"/>
      <c r="CO392" s="637"/>
      <c r="CP392" s="637"/>
      <c r="CQ392" s="637"/>
      <c r="CR392" s="637"/>
      <c r="CS392" s="637"/>
      <c r="CT392" s="637"/>
      <c r="CU392" s="637"/>
      <c r="CV392" s="637"/>
      <c r="CW392" s="637"/>
      <c r="CX392" s="637"/>
      <c r="CY392" s="637"/>
      <c r="CZ392" s="637"/>
      <c r="DA392" s="637"/>
      <c r="DB392" s="637"/>
      <c r="DC392" s="637"/>
      <c r="DD392" s="637"/>
      <c r="DE392" s="637"/>
      <c r="DF392" s="637"/>
      <c r="DG392" s="637"/>
      <c r="DH392" s="637"/>
      <c r="DI392" s="637"/>
      <c r="DJ392" s="637"/>
      <c r="DK392" s="637"/>
      <c r="DL392" s="637"/>
      <c r="DM392" s="637"/>
      <c r="DN392" s="637"/>
      <c r="DO392" s="637"/>
      <c r="DP392" s="637"/>
      <c r="DQ392" s="637"/>
      <c r="DR392" s="637"/>
      <c r="DS392" s="637"/>
      <c r="DT392" s="637"/>
      <c r="DU392" s="637"/>
      <c r="DV392" s="637"/>
      <c r="DW392" s="637"/>
      <c r="DX392" s="637"/>
      <c r="DY392" s="637"/>
      <c r="DZ392" s="637"/>
      <c r="EA392" s="637"/>
      <c r="EB392" s="637"/>
      <c r="EC392" s="637"/>
      <c r="ED392" s="637"/>
      <c r="EE392" s="637"/>
      <c r="EF392" s="637"/>
      <c r="EG392" s="637"/>
      <c r="EH392" s="637"/>
      <c r="EI392" s="637"/>
      <c r="EJ392" s="637"/>
      <c r="EK392" s="637"/>
      <c r="EL392" s="637"/>
      <c r="EM392" s="637"/>
      <c r="EN392" s="637"/>
      <c r="EO392" s="637"/>
      <c r="EP392" s="637"/>
      <c r="EQ392" s="637"/>
      <c r="ER392" s="637"/>
      <c r="ES392" s="637"/>
      <c r="ET392" s="637"/>
      <c r="EU392" s="637"/>
      <c r="EV392" s="637"/>
      <c r="EW392" s="637"/>
      <c r="EX392" s="637"/>
      <c r="EY392" s="637"/>
      <c r="EZ392" s="637"/>
      <c r="FA392" s="637"/>
      <c r="FB392" s="637"/>
      <c r="FC392" s="637"/>
      <c r="FD392" s="637"/>
      <c r="FE392" s="637"/>
      <c r="FF392" s="637"/>
      <c r="FG392" s="637"/>
      <c r="FH392" s="637"/>
      <c r="FI392" s="637"/>
      <c r="FJ392" s="637"/>
      <c r="FK392" s="637"/>
      <c r="FL392" s="637"/>
      <c r="FM392" s="637"/>
      <c r="FN392" s="637"/>
      <c r="FO392" s="637"/>
      <c r="FP392" s="637"/>
      <c r="FQ392" s="637"/>
      <c r="FR392" s="637"/>
      <c r="FS392" s="637"/>
      <c r="FT392" s="637"/>
      <c r="FU392" s="637"/>
      <c r="FV392" s="637"/>
      <c r="FW392" s="637"/>
      <c r="FX392" s="637"/>
      <c r="FY392" s="637"/>
      <c r="FZ392" s="637"/>
      <c r="GA392" s="637"/>
      <c r="GB392" s="637"/>
      <c r="GC392" s="637"/>
      <c r="GD392" s="637"/>
      <c r="GE392" s="637"/>
      <c r="GF392" s="637"/>
      <c r="GG392" s="637"/>
      <c r="GH392" s="637"/>
      <c r="GI392" s="637"/>
      <c r="GJ392" s="637"/>
      <c r="GK392" s="637"/>
      <c r="GL392" s="637"/>
      <c r="GM392" s="637"/>
      <c r="GN392" s="637"/>
      <c r="GO392" s="637"/>
      <c r="GP392" s="637"/>
      <c r="GQ392" s="637"/>
      <c r="GR392" s="637"/>
      <c r="GS392" s="637"/>
      <c r="GT392" s="637"/>
      <c r="GU392" s="637"/>
      <c r="GV392" s="637"/>
      <c r="GW392" s="637"/>
      <c r="GX392" s="637"/>
      <c r="GY392" s="637"/>
      <c r="GZ392" s="637"/>
      <c r="HA392" s="637"/>
      <c r="HB392" s="637"/>
      <c r="HC392" s="637"/>
      <c r="HD392" s="637"/>
      <c r="HE392" s="637"/>
      <c r="HF392" s="637"/>
      <c r="HG392" s="637"/>
      <c r="HH392" s="637"/>
      <c r="HI392" s="637"/>
      <c r="HJ392" s="637"/>
      <c r="HK392" s="637"/>
      <c r="HL392" s="637"/>
      <c r="HM392" s="637"/>
      <c r="HN392" s="637"/>
      <c r="HO392" s="637"/>
      <c r="HP392" s="637"/>
      <c r="HQ392" s="637"/>
      <c r="HR392" s="637"/>
      <c r="HS392" s="637"/>
      <c r="HT392" s="637"/>
      <c r="HU392" s="637"/>
      <c r="HV392" s="637"/>
      <c r="HW392" s="637"/>
      <c r="HX392" s="637"/>
      <c r="HY392" s="637"/>
      <c r="HZ392" s="637"/>
      <c r="IA392" s="637"/>
      <c r="IB392" s="637"/>
      <c r="IC392" s="637"/>
      <c r="ID392" s="637"/>
      <c r="IE392" s="637"/>
      <c r="IF392" s="637"/>
      <c r="IG392" s="637"/>
      <c r="IH392" s="637"/>
      <c r="II392" s="637"/>
      <c r="IJ392" s="637"/>
      <c r="IK392" s="637"/>
      <c r="IL392" s="637"/>
      <c r="IM392" s="637"/>
      <c r="IN392" s="637"/>
      <c r="IO392" s="637"/>
      <c r="IP392" s="637"/>
      <c r="IQ392" s="637"/>
      <c r="IR392" s="637"/>
      <c r="IS392" s="637"/>
      <c r="IT392" s="637"/>
      <c r="IU392" s="637"/>
      <c r="IV392" s="637"/>
      <c r="IW392" s="637"/>
      <c r="IX392" s="637"/>
      <c r="IY392" s="637"/>
      <c r="IZ392" s="637"/>
      <c r="JA392" s="637"/>
      <c r="JB392" s="637"/>
      <c r="JC392" s="637"/>
      <c r="JD392" s="637"/>
      <c r="JE392" s="637"/>
      <c r="JF392" s="637"/>
      <c r="JG392" s="637"/>
      <c r="JH392" s="637"/>
      <c r="JI392" s="637"/>
      <c r="JJ392" s="637"/>
      <c r="JK392" s="637"/>
      <c r="JL392" s="637"/>
      <c r="JM392" s="637"/>
      <c r="JN392" s="637"/>
      <c r="JO392" s="637"/>
      <c r="JP392" s="637"/>
      <c r="JQ392" s="637"/>
      <c r="JR392" s="637"/>
      <c r="JS392" s="637"/>
      <c r="JT392" s="637"/>
      <c r="JU392" s="637"/>
      <c r="JV392" s="637"/>
      <c r="JW392" s="637"/>
      <c r="JX392" s="637"/>
      <c r="JY392" s="637"/>
      <c r="JZ392" s="637"/>
      <c r="KA392" s="637"/>
      <c r="KB392" s="637"/>
      <c r="KC392" s="637"/>
      <c r="KD392" s="637"/>
      <c r="KE392" s="637"/>
      <c r="KF392" s="637"/>
      <c r="KG392" s="637"/>
      <c r="KH392" s="637"/>
      <c r="KI392" s="637"/>
      <c r="KJ392" s="637"/>
      <c r="KK392" s="637"/>
      <c r="KL392" s="637"/>
      <c r="KM392" s="637"/>
      <c r="KN392" s="637"/>
      <c r="KO392" s="637"/>
      <c r="KP392" s="637"/>
      <c r="KQ392" s="637"/>
      <c r="KR392" s="637"/>
      <c r="KS392" s="637"/>
      <c r="KT392" s="637"/>
      <c r="KU392" s="637"/>
      <c r="KV392" s="637"/>
      <c r="KW392" s="637"/>
      <c r="KX392" s="637"/>
      <c r="KY392" s="637"/>
      <c r="KZ392" s="637"/>
      <c r="LA392" s="637"/>
      <c r="LB392" s="637"/>
      <c r="LC392" s="637"/>
      <c r="LD392" s="637"/>
      <c r="LE392" s="637"/>
      <c r="LF392" s="637"/>
      <c r="LG392" s="637"/>
      <c r="LH392" s="637"/>
      <c r="LI392" s="637"/>
      <c r="LJ392" s="637"/>
      <c r="LK392" s="637"/>
      <c r="LL392" s="637"/>
      <c r="LM392" s="637"/>
      <c r="LN392" s="637"/>
      <c r="LO392" s="637"/>
      <c r="LP392" s="637"/>
      <c r="LQ392" s="637"/>
      <c r="LR392" s="637"/>
      <c r="LS392" s="637"/>
      <c r="LT392" s="637"/>
      <c r="LU392" s="637"/>
      <c r="LV392" s="637"/>
      <c r="LW392" s="637"/>
      <c r="LX392" s="637"/>
      <c r="LY392" s="637"/>
      <c r="LZ392" s="637"/>
      <c r="MA392" s="637"/>
      <c r="MB392" s="637"/>
      <c r="MC392" s="637"/>
      <c r="MD392" s="637"/>
      <c r="ME392" s="637"/>
      <c r="MF392" s="637"/>
      <c r="MG392" s="637"/>
      <c r="MH392" s="637"/>
      <c r="MI392" s="637"/>
      <c r="MJ392" s="637"/>
      <c r="MK392" s="637"/>
      <c r="ML392" s="637"/>
      <c r="MM392" s="637"/>
      <c r="MN392" s="637"/>
      <c r="MO392" s="637"/>
      <c r="MP392" s="637"/>
      <c r="MQ392" s="637"/>
      <c r="MR392" s="637"/>
      <c r="MS392" s="637"/>
      <c r="MT392" s="637"/>
      <c r="MU392" s="637"/>
      <c r="MV392" s="637"/>
      <c r="MW392" s="637"/>
      <c r="MX392" s="637"/>
      <c r="MY392" s="637"/>
      <c r="MZ392" s="637"/>
      <c r="NA392" s="637"/>
      <c r="NB392" s="637"/>
      <c r="NC392" s="637"/>
      <c r="ND392" s="637"/>
      <c r="NE392" s="637"/>
      <c r="NF392" s="637"/>
      <c r="NG392" s="637"/>
      <c r="NH392" s="637"/>
      <c r="NI392" s="637"/>
      <c r="NJ392" s="637"/>
      <c r="NK392" s="637"/>
      <c r="NL392" s="637"/>
      <c r="NM392" s="637"/>
      <c r="NN392" s="637"/>
      <c r="NO392" s="637"/>
      <c r="NP392" s="637"/>
      <c r="NQ392" s="637"/>
      <c r="NR392" s="637"/>
      <c r="NS392" s="637"/>
      <c r="NT392" s="637"/>
      <c r="NU392" s="637"/>
      <c r="NV392" s="637"/>
      <c r="NW392" s="637"/>
      <c r="NX392" s="637"/>
      <c r="NY392" s="637"/>
      <c r="NZ392" s="637"/>
      <c r="OA392" s="637"/>
      <c r="OB392" s="637"/>
      <c r="OC392" s="637"/>
      <c r="OD392" s="637"/>
      <c r="OE392" s="637"/>
      <c r="OF392" s="637"/>
      <c r="OG392" s="637"/>
      <c r="OH392" s="637"/>
      <c r="OI392" s="637"/>
      <c r="OJ392" s="637"/>
      <c r="OK392" s="637"/>
      <c r="OL392" s="637"/>
      <c r="OM392" s="637"/>
      <c r="ON392" s="637"/>
      <c r="OO392" s="637"/>
      <c r="OP392" s="637"/>
      <c r="OQ392" s="637"/>
      <c r="OR392" s="637"/>
      <c r="OS392" s="637"/>
      <c r="OT392" s="637"/>
      <c r="OU392" s="637"/>
      <c r="OV392" s="637"/>
      <c r="OW392" s="637"/>
      <c r="OX392" s="637"/>
      <c r="OY392" s="637"/>
      <c r="OZ392" s="637"/>
      <c r="PA392" s="637"/>
      <c r="PB392" s="637"/>
      <c r="PC392" s="637"/>
      <c r="PD392" s="637"/>
      <c r="PE392" s="637"/>
      <c r="PF392" s="637"/>
      <c r="PG392" s="637"/>
      <c r="PH392" s="637"/>
      <c r="PI392" s="637"/>
      <c r="PJ392" s="637"/>
      <c r="PK392" s="637"/>
      <c r="PL392" s="637"/>
      <c r="PM392" s="637"/>
      <c r="PN392" s="637"/>
      <c r="PO392" s="637"/>
      <c r="PP392" s="637"/>
      <c r="PQ392" s="637"/>
      <c r="PR392" s="637"/>
      <c r="PS392" s="637"/>
      <c r="PT392" s="637"/>
      <c r="PU392" s="637"/>
      <c r="PV392" s="637"/>
      <c r="PW392" s="637"/>
      <c r="PX392" s="637"/>
      <c r="PY392" s="637"/>
      <c r="PZ392" s="637"/>
      <c r="QA392" s="637"/>
      <c r="QB392" s="637"/>
      <c r="QC392" s="637"/>
      <c r="QD392" s="637"/>
      <c r="QE392" s="637"/>
      <c r="QF392" s="637"/>
      <c r="QG392" s="637"/>
      <c r="QH392" s="637"/>
      <c r="QI392" s="637"/>
      <c r="QJ392" s="637"/>
      <c r="QK392" s="637"/>
      <c r="QL392" s="637"/>
      <c r="QM392" s="637"/>
      <c r="QN392" s="637"/>
      <c r="QO392" s="637"/>
      <c r="QP392" s="637"/>
      <c r="QQ392" s="637"/>
      <c r="QR392" s="637"/>
      <c r="QS392" s="637"/>
      <c r="QT392" s="637"/>
      <c r="QU392" s="637"/>
      <c r="QV392" s="637"/>
      <c r="QW392" s="637"/>
      <c r="QX392" s="637"/>
      <c r="QY392" s="637"/>
      <c r="QZ392" s="637"/>
      <c r="RA392" s="637"/>
      <c r="RB392" s="637"/>
      <c r="RC392" s="637"/>
      <c r="RD392" s="637"/>
      <c r="RE392" s="637"/>
      <c r="RF392" s="637"/>
      <c r="RG392" s="637"/>
      <c r="RH392" s="637"/>
      <c r="RI392" s="637"/>
      <c r="RJ392" s="637"/>
      <c r="RK392" s="637"/>
      <c r="RL392" s="637"/>
      <c r="RM392" s="637"/>
      <c r="RN392" s="637"/>
      <c r="RO392" s="637"/>
      <c r="RP392" s="637"/>
      <c r="RQ392" s="637"/>
      <c r="RR392" s="637"/>
      <c r="RS392" s="637"/>
      <c r="RT392" s="637"/>
      <c r="RU392" s="637"/>
      <c r="RV392" s="637"/>
      <c r="RW392" s="637"/>
      <c r="RX392" s="637"/>
      <c r="RY392" s="637"/>
      <c r="RZ392" s="637"/>
      <c r="SA392" s="637"/>
      <c r="SB392" s="637"/>
      <c r="SC392" s="637"/>
      <c r="SD392" s="637"/>
      <c r="SE392" s="637"/>
      <c r="SF392" s="637"/>
      <c r="SG392" s="637"/>
      <c r="SH392" s="637"/>
      <c r="SI392" s="637"/>
      <c r="SJ392" s="637"/>
      <c r="SK392" s="637"/>
      <c r="SL392" s="637"/>
      <c r="SM392" s="637"/>
      <c r="SN392" s="637"/>
      <c r="SO392" s="637"/>
      <c r="SP392" s="637"/>
      <c r="SQ392" s="637"/>
      <c r="SR392" s="637"/>
      <c r="SS392" s="637"/>
      <c r="ST392" s="637"/>
      <c r="SU392" s="637"/>
      <c r="SV392" s="637"/>
      <c r="SW392" s="637"/>
      <c r="SX392" s="637"/>
      <c r="SY392" s="637"/>
      <c r="SZ392" s="637"/>
      <c r="TA392" s="637"/>
      <c r="TB392" s="637"/>
      <c r="TC392" s="637"/>
      <c r="TD392" s="637"/>
      <c r="TE392" s="637"/>
      <c r="TF392" s="637"/>
      <c r="TG392" s="637"/>
      <c r="TH392" s="637"/>
      <c r="TI392" s="637"/>
      <c r="TJ392" s="637"/>
      <c r="TK392" s="637"/>
      <c r="TL392" s="637"/>
      <c r="TM392" s="637"/>
      <c r="TN392" s="637"/>
      <c r="TO392" s="637"/>
      <c r="TP392" s="637"/>
      <c r="TQ392" s="637"/>
      <c r="TR392" s="637"/>
      <c r="TS392" s="637"/>
      <c r="TT392" s="637"/>
      <c r="TU392" s="637"/>
      <c r="TV392" s="637"/>
      <c r="TW392" s="637"/>
      <c r="TX392" s="637"/>
      <c r="TY392" s="637"/>
      <c r="TZ392" s="637"/>
      <c r="UA392" s="637"/>
      <c r="UB392" s="637"/>
      <c r="UC392" s="637"/>
      <c r="UD392" s="637"/>
      <c r="UE392" s="637"/>
      <c r="UF392" s="637"/>
      <c r="UG392" s="637"/>
      <c r="UH392" s="637"/>
      <c r="UI392" s="637"/>
      <c r="UJ392" s="637"/>
      <c r="UK392" s="637"/>
      <c r="UL392" s="637"/>
      <c r="UM392" s="637"/>
      <c r="UN392" s="637"/>
      <c r="UO392" s="637"/>
      <c r="UP392" s="637"/>
      <c r="UQ392" s="637"/>
      <c r="UR392" s="637"/>
      <c r="US392" s="637"/>
      <c r="UT392" s="637"/>
      <c r="UU392" s="637"/>
      <c r="UV392" s="637"/>
      <c r="UW392" s="637"/>
      <c r="UX392" s="637"/>
      <c r="UY392" s="637"/>
      <c r="UZ392" s="637"/>
      <c r="VA392" s="637"/>
      <c r="VB392" s="637"/>
      <c r="VC392" s="637"/>
      <c r="VD392" s="637"/>
      <c r="VE392" s="637"/>
      <c r="VF392" s="637"/>
      <c r="VG392" s="637"/>
      <c r="VH392" s="637"/>
      <c r="VI392" s="637"/>
      <c r="VJ392" s="637"/>
      <c r="VK392" s="637"/>
      <c r="VL392" s="637"/>
      <c r="VM392" s="637"/>
      <c r="VN392" s="637"/>
      <c r="VO392" s="637"/>
      <c r="VP392" s="637"/>
      <c r="VQ392" s="637"/>
      <c r="VR392" s="637"/>
      <c r="VS392" s="637"/>
      <c r="VT392" s="637"/>
      <c r="VU392" s="637"/>
      <c r="VV392" s="637"/>
      <c r="VW392" s="637"/>
      <c r="VX392" s="637"/>
      <c r="VY392" s="637"/>
      <c r="VZ392" s="637"/>
      <c r="WA392" s="637"/>
      <c r="WB392" s="637"/>
      <c r="WC392" s="637"/>
      <c r="WD392" s="637"/>
      <c r="WE392" s="637"/>
      <c r="WF392" s="637"/>
      <c r="WG392" s="637"/>
      <c r="WH392" s="637"/>
      <c r="WI392" s="637"/>
      <c r="WJ392" s="637"/>
      <c r="WK392" s="637"/>
      <c r="WL392" s="637"/>
      <c r="WM392" s="637"/>
      <c r="WN392" s="637"/>
      <c r="WO392" s="637"/>
      <c r="WP392" s="637"/>
      <c r="WQ392" s="637"/>
      <c r="WR392" s="637"/>
      <c r="WS392" s="637"/>
      <c r="WT392" s="637"/>
      <c r="WU392" s="637"/>
      <c r="WV392" s="637"/>
      <c r="WW392" s="637"/>
      <c r="WX392" s="637"/>
      <c r="WY392" s="637"/>
      <c r="WZ392" s="637"/>
      <c r="XA392" s="637"/>
      <c r="XB392" s="637"/>
      <c r="XC392" s="637"/>
      <c r="XD392" s="637"/>
      <c r="XE392" s="637"/>
      <c r="XF392" s="637"/>
      <c r="XG392" s="637"/>
      <c r="XH392" s="637"/>
      <c r="XI392" s="637"/>
      <c r="XJ392" s="637"/>
      <c r="XK392" s="637"/>
      <c r="XL392" s="637"/>
      <c r="XM392" s="637"/>
      <c r="XN392" s="637"/>
      <c r="XO392" s="637"/>
      <c r="XP392" s="637"/>
      <c r="XQ392" s="637"/>
      <c r="XR392" s="637"/>
      <c r="XS392" s="637"/>
      <c r="XT392" s="637"/>
      <c r="XU392" s="637"/>
      <c r="XV392" s="637"/>
      <c r="XW392" s="637"/>
      <c r="XX392" s="637"/>
      <c r="XY392" s="637"/>
      <c r="XZ392" s="637"/>
      <c r="YA392" s="637"/>
      <c r="YB392" s="637"/>
      <c r="YC392" s="637"/>
      <c r="YD392" s="637"/>
      <c r="YE392" s="637"/>
      <c r="YF392" s="637"/>
      <c r="YG392" s="637"/>
      <c r="YH392" s="637"/>
      <c r="YI392" s="637"/>
      <c r="YJ392" s="637"/>
      <c r="YK392" s="637"/>
      <c r="YL392" s="637"/>
      <c r="YM392" s="637"/>
      <c r="YN392" s="637"/>
      <c r="YO392" s="637"/>
      <c r="YP392" s="637"/>
      <c r="YQ392" s="637"/>
      <c r="YR392" s="637"/>
      <c r="YS392" s="637"/>
      <c r="YT392" s="637"/>
      <c r="YU392" s="637"/>
      <c r="YV392" s="637"/>
      <c r="YW392" s="637"/>
      <c r="YX392" s="637"/>
      <c r="YY392" s="637"/>
      <c r="YZ392" s="637"/>
      <c r="ZA392" s="637"/>
      <c r="ZB392" s="637"/>
      <c r="ZC392" s="637"/>
      <c r="ZD392" s="637"/>
      <c r="ZE392" s="637"/>
      <c r="ZF392" s="637"/>
      <c r="ZG392" s="637"/>
      <c r="ZH392" s="637"/>
      <c r="ZI392" s="637"/>
      <c r="ZJ392" s="637"/>
      <c r="ZK392" s="637"/>
      <c r="ZL392" s="637"/>
      <c r="ZM392" s="637"/>
      <c r="ZN392" s="637"/>
      <c r="ZO392" s="637"/>
      <c r="ZP392" s="637"/>
      <c r="ZQ392" s="637"/>
      <c r="ZR392" s="637"/>
      <c r="ZS392" s="637"/>
      <c r="ZT392" s="637"/>
      <c r="ZU392" s="637"/>
      <c r="ZV392" s="637"/>
      <c r="ZW392" s="637"/>
      <c r="ZX392" s="637"/>
      <c r="ZY392" s="640"/>
      <c r="ZZ392" s="120"/>
      <c r="AAA392" s="590"/>
      <c r="AAD392" s="113"/>
      <c r="AAE392" s="553" t="s">
        <v>276</v>
      </c>
      <c r="AAF392" s="585" t="s">
        <v>199</v>
      </c>
      <c r="AAG392" s="78">
        <f>S.SubmitNoticeToSOS</f>
        <v>41470</v>
      </c>
      <c r="AAH392" s="78">
        <f>S.EQCMeeting</f>
        <v>41563</v>
      </c>
      <c r="AAI392" s="77"/>
      <c r="AAJ392" s="57"/>
      <c r="AAK392" s="57"/>
      <c r="AAL392" s="57"/>
      <c r="AAM392" s="113"/>
      <c r="AAN392"/>
      <c r="AAT392" s="23"/>
      <c r="AAU392" s="44"/>
    </row>
    <row r="393" spans="1:732" ht="6" customHeight="1">
      <c r="A393" s="560"/>
      <c r="B393" s="207"/>
      <c r="C393" s="696"/>
      <c r="D393" s="181"/>
      <c r="E393" s="182"/>
      <c r="F393" s="182"/>
      <c r="G393" s="181"/>
      <c r="H393" s="181"/>
      <c r="I393" s="590"/>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c r="JD393" s="32"/>
      <c r="JE393" s="32"/>
      <c r="JF393" s="32"/>
      <c r="JG393" s="32"/>
      <c r="JH393" s="32"/>
      <c r="JI393" s="32"/>
      <c r="JJ393" s="32"/>
      <c r="JK393" s="32"/>
      <c r="JL393" s="32"/>
      <c r="JM393" s="32"/>
      <c r="JN393" s="32"/>
      <c r="JO393" s="32"/>
      <c r="JP393" s="32"/>
      <c r="JQ393" s="32"/>
      <c r="JR393" s="32"/>
      <c r="JS393" s="32"/>
      <c r="JT393" s="32"/>
      <c r="JU393" s="32"/>
      <c r="JV393" s="32"/>
      <c r="JW393" s="32"/>
      <c r="JX393" s="32"/>
      <c r="JY393" s="32"/>
      <c r="JZ393" s="32"/>
      <c r="KA393" s="32"/>
      <c r="KB393" s="32"/>
      <c r="KC393" s="32"/>
      <c r="KD393" s="32"/>
      <c r="KE393" s="32"/>
      <c r="KF393" s="32"/>
      <c r="KG393" s="32"/>
      <c r="KH393" s="32"/>
      <c r="KI393" s="32"/>
      <c r="KJ393" s="32"/>
      <c r="KK393" s="32"/>
      <c r="KL393" s="32"/>
      <c r="KM393" s="32"/>
      <c r="KN393" s="32"/>
      <c r="KO393" s="32"/>
      <c r="KP393" s="32"/>
      <c r="KQ393" s="32"/>
      <c r="KR393" s="32"/>
      <c r="KS393" s="32"/>
      <c r="KT393" s="32"/>
      <c r="KU393" s="32"/>
      <c r="KV393" s="32"/>
      <c r="KW393" s="32"/>
      <c r="KX393" s="32"/>
      <c r="KY393" s="32"/>
      <c r="KZ393" s="32"/>
      <c r="LA393" s="32"/>
      <c r="LB393" s="32"/>
      <c r="LC393" s="32"/>
      <c r="LD393" s="32"/>
      <c r="LE393" s="32"/>
      <c r="LF393" s="32"/>
      <c r="LG393" s="32"/>
      <c r="LH393" s="32"/>
      <c r="LI393" s="32"/>
      <c r="LJ393" s="32"/>
      <c r="LK393" s="32"/>
      <c r="LL393" s="32"/>
      <c r="LM393" s="32"/>
      <c r="LN393" s="32"/>
      <c r="LO393" s="32"/>
      <c r="LP393" s="32"/>
      <c r="LQ393" s="32"/>
      <c r="LR393" s="32"/>
      <c r="LS393" s="32"/>
      <c r="LT393" s="32"/>
      <c r="LU393" s="32"/>
      <c r="LV393" s="32"/>
      <c r="LW393" s="32"/>
      <c r="LX393" s="32"/>
      <c r="LY393" s="32"/>
      <c r="LZ393" s="32"/>
      <c r="MA393" s="32"/>
      <c r="MB393" s="32"/>
      <c r="MC393" s="32"/>
      <c r="MD393" s="32"/>
      <c r="ME393" s="32"/>
      <c r="MF393" s="32"/>
      <c r="MG393" s="32"/>
      <c r="MH393" s="32"/>
      <c r="MI393" s="32"/>
      <c r="MJ393" s="32"/>
      <c r="MK393" s="32"/>
      <c r="ML393" s="32"/>
      <c r="MM393" s="32"/>
      <c r="MN393" s="32"/>
      <c r="MO393" s="32"/>
      <c r="MP393" s="32"/>
      <c r="MQ393" s="32"/>
      <c r="MR393" s="32"/>
      <c r="MS393" s="32"/>
      <c r="MT393" s="32"/>
      <c r="MU393" s="32"/>
      <c r="MV393" s="32"/>
      <c r="MW393" s="32"/>
      <c r="MX393" s="32"/>
      <c r="MY393" s="32"/>
      <c r="MZ393" s="32"/>
      <c r="NA393" s="32"/>
      <c r="NB393" s="32"/>
      <c r="NC393" s="32"/>
      <c r="ND393" s="32"/>
      <c r="NE393" s="32"/>
      <c r="NF393" s="32"/>
      <c r="NG393" s="32"/>
      <c r="NH393" s="32"/>
      <c r="NI393" s="32"/>
      <c r="NJ393" s="32"/>
      <c r="NK393" s="32"/>
      <c r="NL393" s="32"/>
      <c r="NM393" s="32"/>
      <c r="NN393" s="32"/>
      <c r="NO393" s="32"/>
      <c r="NP393" s="32"/>
      <c r="NQ393" s="32"/>
      <c r="NR393" s="32"/>
      <c r="NS393" s="32"/>
      <c r="NT393" s="32"/>
      <c r="NU393" s="32"/>
      <c r="NV393" s="32"/>
      <c r="NW393" s="32"/>
      <c r="NX393" s="32"/>
      <c r="NY393" s="32"/>
      <c r="NZ393" s="32"/>
      <c r="OA393" s="32"/>
      <c r="OB393" s="32"/>
      <c r="OC393" s="32"/>
      <c r="OD393" s="32"/>
      <c r="OE393" s="32"/>
      <c r="OF393" s="32"/>
      <c r="OG393" s="32"/>
      <c r="OH393" s="32"/>
      <c r="OI393" s="32"/>
      <c r="OJ393" s="32"/>
      <c r="OK393" s="32"/>
      <c r="OL393" s="32"/>
      <c r="OM393" s="32"/>
      <c r="ON393" s="32"/>
      <c r="OO393" s="32"/>
      <c r="OP393" s="32"/>
      <c r="OQ393" s="32"/>
      <c r="OR393" s="32"/>
      <c r="OS393" s="32"/>
      <c r="OT393" s="32"/>
      <c r="OU393" s="32"/>
      <c r="OV393" s="32"/>
      <c r="OW393" s="32"/>
      <c r="OX393" s="32"/>
      <c r="OY393" s="32"/>
      <c r="OZ393" s="32"/>
      <c r="PA393" s="32"/>
      <c r="PB393" s="32"/>
      <c r="PC393" s="32"/>
      <c r="PD393" s="32"/>
      <c r="PE393" s="32"/>
      <c r="PF393" s="32"/>
      <c r="PG393" s="32"/>
      <c r="PH393" s="32"/>
      <c r="PI393" s="32"/>
      <c r="PJ393" s="32"/>
      <c r="PK393" s="32"/>
      <c r="PL393" s="32"/>
      <c r="PM393" s="32"/>
      <c r="PN393" s="32"/>
      <c r="PO393" s="32"/>
      <c r="PP393" s="32"/>
      <c r="PQ393" s="32"/>
      <c r="PR393" s="32"/>
      <c r="PS393" s="32"/>
      <c r="PT393" s="32"/>
      <c r="PU393" s="32"/>
      <c r="PV393" s="32"/>
      <c r="PW393" s="32"/>
      <c r="PX393" s="32"/>
      <c r="PY393" s="32"/>
      <c r="PZ393" s="32"/>
      <c r="QA393" s="32"/>
      <c r="QB393" s="32"/>
      <c r="QC393" s="32"/>
      <c r="QD393" s="32"/>
      <c r="QE393" s="32"/>
      <c r="QF393" s="32"/>
      <c r="QG393" s="32"/>
      <c r="QH393" s="32"/>
      <c r="QI393" s="32"/>
      <c r="QJ393" s="32"/>
      <c r="QK393" s="32"/>
      <c r="QL393" s="32"/>
      <c r="QM393" s="32"/>
      <c r="QN393" s="32"/>
      <c r="QO393" s="32"/>
      <c r="QP393" s="32"/>
      <c r="QQ393" s="32"/>
      <c r="QR393" s="32"/>
      <c r="QS393" s="32"/>
      <c r="QT393" s="32"/>
      <c r="QU393" s="32"/>
      <c r="QV393" s="32"/>
      <c r="QW393" s="32"/>
      <c r="QX393" s="32"/>
      <c r="QY393" s="32"/>
      <c r="QZ393" s="32"/>
      <c r="RA393" s="32"/>
      <c r="RB393" s="32"/>
      <c r="RC393" s="32"/>
      <c r="RD393" s="32"/>
      <c r="RE393" s="32"/>
      <c r="RF393" s="32"/>
      <c r="RG393" s="32"/>
      <c r="RH393" s="32"/>
      <c r="RI393" s="32"/>
      <c r="RJ393" s="32"/>
      <c r="RK393" s="32"/>
      <c r="RL393" s="32"/>
      <c r="RM393" s="32"/>
      <c r="RN393" s="32"/>
      <c r="RO393" s="32"/>
      <c r="RP393" s="32"/>
      <c r="RQ393" s="32"/>
      <c r="RR393" s="32"/>
      <c r="RS393" s="32"/>
      <c r="RT393" s="32"/>
      <c r="RU393" s="32"/>
      <c r="RV393" s="32"/>
      <c r="RW393" s="32"/>
      <c r="RX393" s="32"/>
      <c r="RY393" s="32"/>
      <c r="RZ393" s="32"/>
      <c r="SA393" s="32"/>
      <c r="SB393" s="32"/>
      <c r="SC393" s="32"/>
      <c r="SD393" s="32"/>
      <c r="SE393" s="32"/>
      <c r="SF393" s="32"/>
      <c r="SG393" s="32"/>
      <c r="SH393" s="32"/>
      <c r="SI393" s="32"/>
      <c r="SJ393" s="32"/>
      <c r="SK393" s="32"/>
      <c r="SL393" s="32"/>
      <c r="SM393" s="32"/>
      <c r="SN393" s="32"/>
      <c r="SO393" s="32"/>
      <c r="SP393" s="32"/>
      <c r="SQ393" s="32"/>
      <c r="SR393" s="32"/>
      <c r="SS393" s="32"/>
      <c r="ST393" s="32"/>
      <c r="SU393" s="32"/>
      <c r="SV393" s="32"/>
      <c r="SW393" s="32"/>
      <c r="SX393" s="32"/>
      <c r="SY393" s="32"/>
      <c r="SZ393" s="32"/>
      <c r="TA393" s="32"/>
      <c r="TB393" s="32"/>
      <c r="TC393" s="32"/>
      <c r="TD393" s="32"/>
      <c r="TE393" s="32"/>
      <c r="TF393" s="32"/>
      <c r="TG393" s="32"/>
      <c r="TH393" s="32"/>
      <c r="TI393" s="32"/>
      <c r="TJ393" s="32"/>
      <c r="TK393" s="32"/>
      <c r="TL393" s="32"/>
      <c r="TM393" s="32"/>
      <c r="TN393" s="32"/>
      <c r="TO393" s="32"/>
      <c r="TP393" s="32"/>
      <c r="TQ393" s="32"/>
      <c r="TR393" s="32"/>
      <c r="TS393" s="32"/>
      <c r="TT393" s="32"/>
      <c r="TU393" s="32"/>
      <c r="TV393" s="32"/>
      <c r="TW393" s="32"/>
      <c r="TX393" s="32"/>
      <c r="TY393" s="32"/>
      <c r="TZ393" s="32"/>
      <c r="UA393" s="32"/>
      <c r="UB393" s="32"/>
      <c r="UC393" s="32"/>
      <c r="UD393" s="32"/>
      <c r="UE393" s="32"/>
      <c r="UF393" s="32"/>
      <c r="UG393" s="32"/>
      <c r="UH393" s="32"/>
      <c r="UI393" s="32"/>
      <c r="UJ393" s="32"/>
      <c r="UK393" s="32"/>
      <c r="UL393" s="32"/>
      <c r="UM393" s="32"/>
      <c r="UN393" s="32"/>
      <c r="UO393" s="32"/>
      <c r="UP393" s="32"/>
      <c r="UQ393" s="32"/>
      <c r="UR393" s="32"/>
      <c r="US393" s="32"/>
      <c r="UT393" s="32"/>
      <c r="UU393" s="32"/>
      <c r="UV393" s="32"/>
      <c r="UW393" s="32"/>
      <c r="UX393" s="32"/>
      <c r="UY393" s="32"/>
      <c r="UZ393" s="32"/>
      <c r="VA393" s="32"/>
      <c r="VB393" s="32"/>
      <c r="VC393" s="32"/>
      <c r="VD393" s="32"/>
      <c r="VE393" s="32"/>
      <c r="VF393" s="32"/>
      <c r="VG393" s="32"/>
      <c r="VH393" s="32"/>
      <c r="VI393" s="32"/>
      <c r="VJ393" s="32"/>
      <c r="VK393" s="32"/>
      <c r="VL393" s="32"/>
      <c r="VM393" s="32"/>
      <c r="VN393" s="32"/>
      <c r="VO393" s="32"/>
      <c r="VP393" s="32"/>
      <c r="VQ393" s="32"/>
      <c r="VR393" s="32"/>
      <c r="VS393" s="32"/>
      <c r="VT393" s="32"/>
      <c r="VU393" s="32"/>
      <c r="VV393" s="32"/>
      <c r="VW393" s="32"/>
      <c r="VX393" s="32"/>
      <c r="VY393" s="32"/>
      <c r="VZ393" s="32"/>
      <c r="WA393" s="32"/>
      <c r="WB393" s="32"/>
      <c r="WC393" s="32"/>
      <c r="WD393" s="32"/>
      <c r="WE393" s="32"/>
      <c r="WF393" s="32"/>
      <c r="WG393" s="32"/>
      <c r="WH393" s="32"/>
      <c r="WI393" s="32"/>
      <c r="WJ393" s="32"/>
      <c r="WK393" s="32"/>
      <c r="WL393" s="32"/>
      <c r="WM393" s="32"/>
      <c r="WN393" s="32"/>
      <c r="WO393" s="32"/>
      <c r="WP393" s="32"/>
      <c r="WQ393" s="32"/>
      <c r="WR393" s="32"/>
      <c r="WS393" s="32"/>
      <c r="WT393" s="32"/>
      <c r="WU393" s="32"/>
      <c r="WV393" s="32"/>
      <c r="WW393" s="32"/>
      <c r="WX393" s="32"/>
      <c r="WY393" s="32"/>
      <c r="WZ393" s="32"/>
      <c r="XA393" s="32"/>
      <c r="XB393" s="32"/>
      <c r="XC393" s="32"/>
      <c r="XD393" s="32"/>
      <c r="XE393" s="32"/>
      <c r="XF393" s="32"/>
      <c r="XG393" s="32"/>
      <c r="XH393" s="32"/>
      <c r="XI393" s="32"/>
      <c r="XJ393" s="32"/>
      <c r="XK393" s="32"/>
      <c r="XL393" s="32"/>
      <c r="XM393" s="32"/>
      <c r="XN393" s="32"/>
      <c r="XO393" s="32"/>
      <c r="XP393" s="32"/>
      <c r="XQ393" s="32"/>
      <c r="XR393" s="32"/>
      <c r="XS393" s="32"/>
      <c r="XT393" s="32"/>
      <c r="XU393" s="32"/>
      <c r="XV393" s="32"/>
      <c r="XW393" s="32"/>
      <c r="XX393" s="32"/>
      <c r="XY393" s="32"/>
      <c r="XZ393" s="32"/>
      <c r="YA393" s="32"/>
      <c r="YB393" s="32"/>
      <c r="YC393" s="32"/>
      <c r="YD393" s="32"/>
      <c r="YE393" s="32"/>
      <c r="YF393" s="32"/>
      <c r="YG393" s="32"/>
      <c r="YH393" s="32"/>
      <c r="YI393" s="32"/>
      <c r="YJ393" s="32"/>
      <c r="YK393" s="32"/>
      <c r="YL393" s="32"/>
      <c r="YM393" s="32"/>
      <c r="YN393" s="32"/>
      <c r="YO393" s="32"/>
      <c r="YP393" s="32"/>
      <c r="YQ393" s="32"/>
      <c r="YR393" s="32"/>
      <c r="YS393" s="32"/>
      <c r="YT393" s="32"/>
      <c r="YU393" s="32"/>
      <c r="YV393" s="32"/>
      <c r="YW393" s="32"/>
      <c r="YX393" s="32"/>
      <c r="YY393" s="32"/>
      <c r="YZ393" s="32"/>
      <c r="ZA393" s="32"/>
      <c r="ZB393" s="32"/>
      <c r="ZC393" s="32"/>
      <c r="ZD393" s="32"/>
      <c r="ZE393" s="32"/>
      <c r="ZF393" s="32"/>
      <c r="ZG393" s="32"/>
      <c r="ZH393" s="32"/>
      <c r="ZI393" s="32"/>
      <c r="ZJ393" s="32"/>
      <c r="ZK393" s="32"/>
      <c r="ZL393" s="32"/>
      <c r="ZM393" s="32"/>
      <c r="ZN393" s="32"/>
      <c r="ZO393" s="32"/>
      <c r="ZP393" s="32"/>
      <c r="ZQ393" s="32"/>
      <c r="ZR393" s="32"/>
      <c r="ZS393" s="32"/>
      <c r="ZT393" s="32"/>
      <c r="ZU393" s="32"/>
      <c r="ZV393" s="32"/>
      <c r="ZW393" s="32"/>
      <c r="ZX393" s="32"/>
      <c r="ZY393" s="32"/>
      <c r="ZZ393" s="32"/>
      <c r="AAA393" s="590"/>
      <c r="AAD393" s="113"/>
      <c r="AAE393" s="553" t="s">
        <v>22</v>
      </c>
      <c r="AAF393" s="585" t="s">
        <v>199</v>
      </c>
      <c r="AAG393" s="63"/>
      <c r="AAH393" s="63"/>
      <c r="AAI393" s="77"/>
      <c r="AAJ393" s="57"/>
      <c r="AAK393" s="57"/>
      <c r="AAL393" s="57"/>
      <c r="AAM393" s="113"/>
      <c r="AAN393"/>
      <c r="AAT393" s="23"/>
      <c r="AAU393" s="44"/>
    </row>
    <row r="394" spans="1:732" ht="15" customHeight="1" outlineLevel="1">
      <c r="A394" s="560"/>
      <c r="B394" s="463" t="s">
        <v>174</v>
      </c>
      <c r="C394" s="188"/>
      <c r="D394" s="278" t="s">
        <v>161</v>
      </c>
      <c r="E394" s="437">
        <f t="shared" ref="E394" si="980">NETWORKDAYS(G394,H394,S.DDL_DEQClosed)</f>
        <v>41</v>
      </c>
      <c r="F394" s="493">
        <f t="shared" ref="F394" ca="1" si="981">NETWORKDAYS(TODAY(),H394)</f>
        <v>105</v>
      </c>
      <c r="G394" s="438">
        <f t="shared" ref="G394:H394" si="982">AAG394</f>
        <v>41470</v>
      </c>
      <c r="H394" s="438">
        <f t="shared" si="982"/>
        <v>41527</v>
      </c>
      <c r="I394" s="629"/>
      <c r="J394" s="642"/>
      <c r="K394" s="643"/>
      <c r="L394" s="643"/>
      <c r="M394" s="643"/>
      <c r="N394" s="643"/>
      <c r="O394" s="643"/>
      <c r="P394" s="643"/>
      <c r="Q394" s="643"/>
      <c r="R394" s="643"/>
      <c r="S394" s="643"/>
      <c r="T394" s="643"/>
      <c r="U394" s="643"/>
      <c r="V394" s="643"/>
      <c r="W394" s="643"/>
      <c r="X394" s="643"/>
      <c r="Y394" s="643"/>
      <c r="Z394" s="643"/>
      <c r="AA394" s="643"/>
      <c r="AB394" s="643"/>
      <c r="AC394" s="643"/>
      <c r="AD394" s="643"/>
      <c r="AE394" s="643"/>
      <c r="AF394" s="643"/>
      <c r="AG394" s="643"/>
      <c r="AH394" s="643"/>
      <c r="AI394" s="643"/>
      <c r="AJ394" s="643"/>
      <c r="AK394" s="643"/>
      <c r="AL394" s="643"/>
      <c r="AM394" s="643"/>
      <c r="AN394" s="643"/>
      <c r="AO394" s="643"/>
      <c r="AP394" s="643"/>
      <c r="AQ394" s="643"/>
      <c r="AR394" s="643"/>
      <c r="AS394" s="643"/>
      <c r="AT394" s="643"/>
      <c r="AU394" s="643"/>
      <c r="AV394" s="643"/>
      <c r="AW394" s="643"/>
      <c r="AX394" s="643"/>
      <c r="AY394" s="643"/>
      <c r="AZ394" s="643"/>
      <c r="BA394" s="643"/>
      <c r="BB394" s="643"/>
      <c r="BC394" s="643"/>
      <c r="BD394" s="643"/>
      <c r="BE394" s="643"/>
      <c r="BF394" s="643"/>
      <c r="BG394" s="643"/>
      <c r="BH394" s="643"/>
      <c r="BI394" s="643"/>
      <c r="BJ394" s="643"/>
      <c r="BK394" s="643"/>
      <c r="BL394" s="643"/>
      <c r="BM394" s="643"/>
      <c r="BN394" s="643"/>
      <c r="BO394" s="643"/>
      <c r="BP394" s="643"/>
      <c r="BQ394" s="643"/>
      <c r="BR394" s="643"/>
      <c r="BS394" s="643"/>
      <c r="BT394" s="643"/>
      <c r="BU394" s="643"/>
      <c r="BV394" s="643"/>
      <c r="BW394" s="643"/>
      <c r="BX394" s="643"/>
      <c r="BY394" s="643"/>
      <c r="BZ394" s="643"/>
      <c r="CA394" s="643"/>
      <c r="CB394" s="643"/>
      <c r="CC394" s="643"/>
      <c r="CD394" s="643"/>
      <c r="CE394" s="643"/>
      <c r="CF394" s="643"/>
      <c r="CG394" s="643"/>
      <c r="CH394" s="643"/>
      <c r="CI394" s="643"/>
      <c r="CJ394" s="643"/>
      <c r="CK394" s="643"/>
      <c r="CL394" s="643"/>
      <c r="CM394" s="643"/>
      <c r="CN394" s="643"/>
      <c r="CO394" s="643"/>
      <c r="CP394" s="643"/>
      <c r="CQ394" s="643"/>
      <c r="CR394" s="643"/>
      <c r="CS394" s="643"/>
      <c r="CT394" s="643"/>
      <c r="CU394" s="643"/>
      <c r="CV394" s="643"/>
      <c r="CW394" s="643"/>
      <c r="CX394" s="643"/>
      <c r="CY394" s="643"/>
      <c r="CZ394" s="643"/>
      <c r="DA394" s="643"/>
      <c r="DB394" s="643"/>
      <c r="DC394" s="643"/>
      <c r="DD394" s="643"/>
      <c r="DE394" s="643"/>
      <c r="DF394" s="643"/>
      <c r="DG394" s="643"/>
      <c r="DH394" s="643"/>
      <c r="DI394" s="643"/>
      <c r="DJ394" s="643"/>
      <c r="DK394" s="643"/>
      <c r="DL394" s="643"/>
      <c r="DM394" s="643"/>
      <c r="DN394" s="643"/>
      <c r="DO394" s="643"/>
      <c r="DP394" s="643"/>
      <c r="DQ394" s="643"/>
      <c r="DR394" s="643"/>
      <c r="DS394" s="643"/>
      <c r="DT394" s="643"/>
      <c r="DU394" s="643"/>
      <c r="DV394" s="643"/>
      <c r="DW394" s="643"/>
      <c r="DX394" s="643"/>
      <c r="DY394" s="643"/>
      <c r="DZ394" s="643"/>
      <c r="EA394" s="643"/>
      <c r="EB394" s="643"/>
      <c r="EC394" s="643"/>
      <c r="ED394" s="643"/>
      <c r="EE394" s="643"/>
      <c r="EF394" s="643"/>
      <c r="EG394" s="643"/>
      <c r="EH394" s="643"/>
      <c r="EI394" s="643"/>
      <c r="EJ394" s="643"/>
      <c r="EK394" s="643"/>
      <c r="EL394" s="643"/>
      <c r="EM394" s="643"/>
      <c r="EN394" s="643"/>
      <c r="EO394" s="643"/>
      <c r="EP394" s="643"/>
      <c r="EQ394" s="643"/>
      <c r="ER394" s="643"/>
      <c r="ES394" s="643"/>
      <c r="ET394" s="643"/>
      <c r="EU394" s="643"/>
      <c r="EV394" s="643"/>
      <c r="EW394" s="643"/>
      <c r="EX394" s="643"/>
      <c r="EY394" s="643"/>
      <c r="EZ394" s="643"/>
      <c r="FA394" s="643"/>
      <c r="FB394" s="643"/>
      <c r="FC394" s="643"/>
      <c r="FD394" s="643"/>
      <c r="FE394" s="643"/>
      <c r="FF394" s="643"/>
      <c r="FG394" s="643"/>
      <c r="FH394" s="643"/>
      <c r="FI394" s="643"/>
      <c r="FJ394" s="643"/>
      <c r="FK394" s="643"/>
      <c r="FL394" s="643"/>
      <c r="FM394" s="643"/>
      <c r="FN394" s="643"/>
      <c r="FO394" s="643"/>
      <c r="FP394" s="643"/>
      <c r="FQ394" s="643"/>
      <c r="FR394" s="643"/>
      <c r="FS394" s="643"/>
      <c r="FT394" s="643"/>
      <c r="FU394" s="643"/>
      <c r="FV394" s="643"/>
      <c r="FW394" s="643"/>
      <c r="FX394" s="643"/>
      <c r="FY394" s="643"/>
      <c r="FZ394" s="643"/>
      <c r="GA394" s="643"/>
      <c r="GB394" s="643"/>
      <c r="GC394" s="643"/>
      <c r="GD394" s="643"/>
      <c r="GE394" s="643"/>
      <c r="GF394" s="643"/>
      <c r="GG394" s="643"/>
      <c r="GH394" s="643"/>
      <c r="GI394" s="643"/>
      <c r="GJ394" s="643"/>
      <c r="GK394" s="643"/>
      <c r="GL394" s="643"/>
      <c r="GM394" s="643"/>
      <c r="GN394" s="643"/>
      <c r="GO394" s="643"/>
      <c r="GP394" s="643"/>
      <c r="GQ394" s="643"/>
      <c r="GR394" s="643"/>
      <c r="GS394" s="643"/>
      <c r="GT394" s="643"/>
      <c r="GU394" s="643"/>
      <c r="GV394" s="643"/>
      <c r="GW394" s="643"/>
      <c r="GX394" s="643"/>
      <c r="GY394" s="643"/>
      <c r="GZ394" s="643"/>
      <c r="HA394" s="643"/>
      <c r="HB394" s="643"/>
      <c r="HC394" s="643"/>
      <c r="HD394" s="643"/>
      <c r="HE394" s="643"/>
      <c r="HF394" s="643"/>
      <c r="HG394" s="643"/>
      <c r="HH394" s="643"/>
      <c r="HI394" s="643"/>
      <c r="HJ394" s="643"/>
      <c r="HK394" s="643"/>
      <c r="HL394" s="643"/>
      <c r="HM394" s="643"/>
      <c r="HN394" s="643"/>
      <c r="HO394" s="643"/>
      <c r="HP394" s="643"/>
      <c r="HQ394" s="643"/>
      <c r="HR394" s="643"/>
      <c r="HS394" s="643"/>
      <c r="HT394" s="643"/>
      <c r="HU394" s="643"/>
      <c r="HV394" s="643"/>
      <c r="HW394" s="643"/>
      <c r="HX394" s="643"/>
      <c r="HY394" s="643"/>
      <c r="HZ394" s="643"/>
      <c r="IA394" s="643"/>
      <c r="IB394" s="643"/>
      <c r="IC394" s="643"/>
      <c r="ID394" s="643"/>
      <c r="IE394" s="643"/>
      <c r="IF394" s="643"/>
      <c r="IG394" s="643"/>
      <c r="IH394" s="643"/>
      <c r="II394" s="643"/>
      <c r="IJ394" s="643"/>
      <c r="IK394" s="643"/>
      <c r="IL394" s="643"/>
      <c r="IM394" s="643"/>
      <c r="IN394" s="643"/>
      <c r="IO394" s="643"/>
      <c r="IP394" s="643"/>
      <c r="IQ394" s="643"/>
      <c r="IR394" s="643"/>
      <c r="IS394" s="643"/>
      <c r="IT394" s="643"/>
      <c r="IU394" s="643"/>
      <c r="IV394" s="643"/>
      <c r="IW394" s="643"/>
      <c r="IX394" s="643"/>
      <c r="IY394" s="643"/>
      <c r="IZ394" s="643"/>
      <c r="JA394" s="643"/>
      <c r="JB394" s="643"/>
      <c r="JC394" s="643"/>
      <c r="JD394" s="643"/>
      <c r="JE394" s="643"/>
      <c r="JF394" s="643"/>
      <c r="JG394" s="643"/>
      <c r="JH394" s="643"/>
      <c r="JI394" s="643"/>
      <c r="JJ394" s="643"/>
      <c r="JK394" s="643"/>
      <c r="JL394" s="643"/>
      <c r="JM394" s="643"/>
      <c r="JN394" s="643"/>
      <c r="JO394" s="643"/>
      <c r="JP394" s="643"/>
      <c r="JQ394" s="643"/>
      <c r="JR394" s="643"/>
      <c r="JS394" s="643"/>
      <c r="JT394" s="643"/>
      <c r="JU394" s="643"/>
      <c r="JV394" s="643"/>
      <c r="JW394" s="643"/>
      <c r="JX394" s="643"/>
      <c r="JY394" s="643"/>
      <c r="JZ394" s="643"/>
      <c r="KA394" s="643"/>
      <c r="KB394" s="643"/>
      <c r="KC394" s="643"/>
      <c r="KD394" s="643"/>
      <c r="KE394" s="643"/>
      <c r="KF394" s="643"/>
      <c r="KG394" s="643"/>
      <c r="KH394" s="643"/>
      <c r="KI394" s="643"/>
      <c r="KJ394" s="643"/>
      <c r="KK394" s="643"/>
      <c r="KL394" s="643"/>
      <c r="KM394" s="643"/>
      <c r="KN394" s="643"/>
      <c r="KO394" s="643"/>
      <c r="KP394" s="643"/>
      <c r="KQ394" s="643"/>
      <c r="KR394" s="643"/>
      <c r="KS394" s="643"/>
      <c r="KT394" s="643"/>
      <c r="KU394" s="643"/>
      <c r="KV394" s="643"/>
      <c r="KW394" s="643"/>
      <c r="KX394" s="643"/>
      <c r="KY394" s="643"/>
      <c r="KZ394" s="643"/>
      <c r="LA394" s="643"/>
      <c r="LB394" s="643"/>
      <c r="LC394" s="643"/>
      <c r="LD394" s="643"/>
      <c r="LE394" s="643"/>
      <c r="LF394" s="643"/>
      <c r="LG394" s="643"/>
      <c r="LH394" s="643"/>
      <c r="LI394" s="643"/>
      <c r="LJ394" s="643"/>
      <c r="LK394" s="643"/>
      <c r="LL394" s="643"/>
      <c r="LM394" s="643"/>
      <c r="LN394" s="643"/>
      <c r="LO394" s="643"/>
      <c r="LP394" s="643"/>
      <c r="LQ394" s="643"/>
      <c r="LR394" s="643"/>
      <c r="LS394" s="643"/>
      <c r="LT394" s="643"/>
      <c r="LU394" s="643"/>
      <c r="LV394" s="643"/>
      <c r="LW394" s="643"/>
      <c r="LX394" s="643"/>
      <c r="LY394" s="643"/>
      <c r="LZ394" s="643"/>
      <c r="MA394" s="643"/>
      <c r="MB394" s="643"/>
      <c r="MC394" s="643"/>
      <c r="MD394" s="643"/>
      <c r="ME394" s="643"/>
      <c r="MF394" s="643"/>
      <c r="MG394" s="643"/>
      <c r="MH394" s="643"/>
      <c r="MI394" s="643"/>
      <c r="MJ394" s="643"/>
      <c r="MK394" s="643"/>
      <c r="ML394" s="643"/>
      <c r="MM394" s="643"/>
      <c r="MN394" s="643"/>
      <c r="MO394" s="643"/>
      <c r="MP394" s="643"/>
      <c r="MQ394" s="643"/>
      <c r="MR394" s="643"/>
      <c r="MS394" s="643"/>
      <c r="MT394" s="643"/>
      <c r="MU394" s="643"/>
      <c r="MV394" s="643"/>
      <c r="MW394" s="643"/>
      <c r="MX394" s="643"/>
      <c r="MY394" s="643"/>
      <c r="MZ394" s="643"/>
      <c r="NA394" s="643"/>
      <c r="NB394" s="643"/>
      <c r="NC394" s="643"/>
      <c r="ND394" s="643"/>
      <c r="NE394" s="643"/>
      <c r="NF394" s="643"/>
      <c r="NG394" s="643"/>
      <c r="NH394" s="643"/>
      <c r="NI394" s="643"/>
      <c r="NJ394" s="643"/>
      <c r="NK394" s="643"/>
      <c r="NL394" s="643"/>
      <c r="NM394" s="643"/>
      <c r="NN394" s="643"/>
      <c r="NO394" s="643"/>
      <c r="NP394" s="643"/>
      <c r="NQ394" s="643"/>
      <c r="NR394" s="643"/>
      <c r="NS394" s="643"/>
      <c r="NT394" s="643"/>
      <c r="NU394" s="643"/>
      <c r="NV394" s="643"/>
      <c r="NW394" s="643"/>
      <c r="NX394" s="643"/>
      <c r="NY394" s="643"/>
      <c r="NZ394" s="643"/>
      <c r="OA394" s="643"/>
      <c r="OB394" s="643"/>
      <c r="OC394" s="643"/>
      <c r="OD394" s="643"/>
      <c r="OE394" s="643"/>
      <c r="OF394" s="643"/>
      <c r="OG394" s="643"/>
      <c r="OH394" s="643"/>
      <c r="OI394" s="643"/>
      <c r="OJ394" s="643"/>
      <c r="OK394" s="643"/>
      <c r="OL394" s="643"/>
      <c r="OM394" s="643"/>
      <c r="ON394" s="643"/>
      <c r="OO394" s="643"/>
      <c r="OP394" s="643"/>
      <c r="OQ394" s="643"/>
      <c r="OR394" s="643"/>
      <c r="OS394" s="643"/>
      <c r="OT394" s="643"/>
      <c r="OU394" s="643"/>
      <c r="OV394" s="643"/>
      <c r="OW394" s="643"/>
      <c r="OX394" s="643"/>
      <c r="OY394" s="643"/>
      <c r="OZ394" s="643"/>
      <c r="PA394" s="643"/>
      <c r="PB394" s="643"/>
      <c r="PC394" s="643"/>
      <c r="PD394" s="643"/>
      <c r="PE394" s="643"/>
      <c r="PF394" s="643"/>
      <c r="PG394" s="643"/>
      <c r="PH394" s="643"/>
      <c r="PI394" s="643"/>
      <c r="PJ394" s="643"/>
      <c r="PK394" s="643"/>
      <c r="PL394" s="643"/>
      <c r="PM394" s="643"/>
      <c r="PN394" s="643"/>
      <c r="PO394" s="643"/>
      <c r="PP394" s="643"/>
      <c r="PQ394" s="643"/>
      <c r="PR394" s="643"/>
      <c r="PS394" s="643"/>
      <c r="PT394" s="643"/>
      <c r="PU394" s="643"/>
      <c r="PV394" s="643"/>
      <c r="PW394" s="643"/>
      <c r="PX394" s="643"/>
      <c r="PY394" s="643"/>
      <c r="PZ394" s="643"/>
      <c r="QA394" s="643"/>
      <c r="QB394" s="643"/>
      <c r="QC394" s="643"/>
      <c r="QD394" s="643"/>
      <c r="QE394" s="643"/>
      <c r="QF394" s="643"/>
      <c r="QG394" s="643"/>
      <c r="QH394" s="643"/>
      <c r="QI394" s="643"/>
      <c r="QJ394" s="643"/>
      <c r="QK394" s="643"/>
      <c r="QL394" s="643"/>
      <c r="QM394" s="643"/>
      <c r="QN394" s="643"/>
      <c r="QO394" s="643"/>
      <c r="QP394" s="643"/>
      <c r="QQ394" s="643"/>
      <c r="QR394" s="643"/>
      <c r="QS394" s="643"/>
      <c r="QT394" s="643"/>
      <c r="QU394" s="643"/>
      <c r="QV394" s="643"/>
      <c r="QW394" s="643"/>
      <c r="QX394" s="643"/>
      <c r="QY394" s="643"/>
      <c r="QZ394" s="643"/>
      <c r="RA394" s="643"/>
      <c r="RB394" s="643"/>
      <c r="RC394" s="643"/>
      <c r="RD394" s="643"/>
      <c r="RE394" s="643"/>
      <c r="RF394" s="643"/>
      <c r="RG394" s="643"/>
      <c r="RH394" s="643"/>
      <c r="RI394" s="643"/>
      <c r="RJ394" s="643"/>
      <c r="RK394" s="643"/>
      <c r="RL394" s="643"/>
      <c r="RM394" s="643"/>
      <c r="RN394" s="643"/>
      <c r="RO394" s="643"/>
      <c r="RP394" s="643"/>
      <c r="RQ394" s="643"/>
      <c r="RR394" s="643"/>
      <c r="RS394" s="643"/>
      <c r="RT394" s="643"/>
      <c r="RU394" s="643"/>
      <c r="RV394" s="643"/>
      <c r="RW394" s="643"/>
      <c r="RX394" s="643"/>
      <c r="RY394" s="643"/>
      <c r="RZ394" s="643"/>
      <c r="SA394" s="643"/>
      <c r="SB394" s="643"/>
      <c r="SC394" s="643"/>
      <c r="SD394" s="643"/>
      <c r="SE394" s="643"/>
      <c r="SF394" s="643"/>
      <c r="SG394" s="643"/>
      <c r="SH394" s="643"/>
      <c r="SI394" s="643"/>
      <c r="SJ394" s="643"/>
      <c r="SK394" s="643"/>
      <c r="SL394" s="643"/>
      <c r="SM394" s="643"/>
      <c r="SN394" s="643"/>
      <c r="SO394" s="643"/>
      <c r="SP394" s="643"/>
      <c r="SQ394" s="643"/>
      <c r="SR394" s="643"/>
      <c r="SS394" s="643"/>
      <c r="ST394" s="643"/>
      <c r="SU394" s="643"/>
      <c r="SV394" s="643"/>
      <c r="SW394" s="643"/>
      <c r="SX394" s="643"/>
      <c r="SY394" s="643"/>
      <c r="SZ394" s="643"/>
      <c r="TA394" s="643"/>
      <c r="TB394" s="643"/>
      <c r="TC394" s="643"/>
      <c r="TD394" s="643"/>
      <c r="TE394" s="643"/>
      <c r="TF394" s="643"/>
      <c r="TG394" s="643"/>
      <c r="TH394" s="643"/>
      <c r="TI394" s="643"/>
      <c r="TJ394" s="643"/>
      <c r="TK394" s="643"/>
      <c r="TL394" s="643"/>
      <c r="TM394" s="643"/>
      <c r="TN394" s="643"/>
      <c r="TO394" s="643"/>
      <c r="TP394" s="643"/>
      <c r="TQ394" s="643"/>
      <c r="TR394" s="643"/>
      <c r="TS394" s="643"/>
      <c r="TT394" s="643"/>
      <c r="TU394" s="643"/>
      <c r="TV394" s="643"/>
      <c r="TW394" s="643"/>
      <c r="TX394" s="643"/>
      <c r="TY394" s="643"/>
      <c r="TZ394" s="643"/>
      <c r="UA394" s="643"/>
      <c r="UB394" s="643"/>
      <c r="UC394" s="643"/>
      <c r="UD394" s="643"/>
      <c r="UE394" s="643"/>
      <c r="UF394" s="643"/>
      <c r="UG394" s="643"/>
      <c r="UH394" s="643"/>
      <c r="UI394" s="643"/>
      <c r="UJ394" s="643"/>
      <c r="UK394" s="643"/>
      <c r="UL394" s="643"/>
      <c r="UM394" s="643"/>
      <c r="UN394" s="643"/>
      <c r="UO394" s="643"/>
      <c r="UP394" s="643"/>
      <c r="UQ394" s="643"/>
      <c r="UR394" s="643"/>
      <c r="US394" s="643"/>
      <c r="UT394" s="643"/>
      <c r="UU394" s="643"/>
      <c r="UV394" s="643"/>
      <c r="UW394" s="643"/>
      <c r="UX394" s="643"/>
      <c r="UY394" s="643"/>
      <c r="UZ394" s="643"/>
      <c r="VA394" s="643"/>
      <c r="VB394" s="643"/>
      <c r="VC394" s="643"/>
      <c r="VD394" s="643"/>
      <c r="VE394" s="643"/>
      <c r="VF394" s="643"/>
      <c r="VG394" s="643"/>
      <c r="VH394" s="643"/>
      <c r="VI394" s="643"/>
      <c r="VJ394" s="643"/>
      <c r="VK394" s="643"/>
      <c r="VL394" s="643"/>
      <c r="VM394" s="643"/>
      <c r="VN394" s="643"/>
      <c r="VO394" s="643"/>
      <c r="VP394" s="643"/>
      <c r="VQ394" s="643"/>
      <c r="VR394" s="643"/>
      <c r="VS394" s="643"/>
      <c r="VT394" s="643"/>
      <c r="VU394" s="643"/>
      <c r="VV394" s="643"/>
      <c r="VW394" s="643"/>
      <c r="VX394" s="643"/>
      <c r="VY394" s="643"/>
      <c r="VZ394" s="643"/>
      <c r="WA394" s="643"/>
      <c r="WB394" s="643"/>
      <c r="WC394" s="643"/>
      <c r="WD394" s="643"/>
      <c r="WE394" s="643"/>
      <c r="WF394" s="643"/>
      <c r="WG394" s="643"/>
      <c r="WH394" s="643"/>
      <c r="WI394" s="643"/>
      <c r="WJ394" s="643"/>
      <c r="WK394" s="643"/>
      <c r="WL394" s="643"/>
      <c r="WM394" s="643"/>
      <c r="WN394" s="643"/>
      <c r="WO394" s="643"/>
      <c r="WP394" s="643"/>
      <c r="WQ394" s="643"/>
      <c r="WR394" s="643"/>
      <c r="WS394" s="643"/>
      <c r="WT394" s="643"/>
      <c r="WU394" s="643"/>
      <c r="WV394" s="643"/>
      <c r="WW394" s="643"/>
      <c r="WX394" s="643"/>
      <c r="WY394" s="643"/>
      <c r="WZ394" s="643"/>
      <c r="XA394" s="643"/>
      <c r="XB394" s="643"/>
      <c r="XC394" s="643"/>
      <c r="XD394" s="643"/>
      <c r="XE394" s="643"/>
      <c r="XF394" s="643"/>
      <c r="XG394" s="643"/>
      <c r="XH394" s="643"/>
      <c r="XI394" s="643"/>
      <c r="XJ394" s="643"/>
      <c r="XK394" s="643"/>
      <c r="XL394" s="643"/>
      <c r="XM394" s="643"/>
      <c r="XN394" s="643"/>
      <c r="XO394" s="643"/>
      <c r="XP394" s="643"/>
      <c r="XQ394" s="643"/>
      <c r="XR394" s="643"/>
      <c r="XS394" s="643"/>
      <c r="XT394" s="643"/>
      <c r="XU394" s="643"/>
      <c r="XV394" s="643"/>
      <c r="XW394" s="643"/>
      <c r="XX394" s="643"/>
      <c r="XY394" s="643"/>
      <c r="XZ394" s="643"/>
      <c r="YA394" s="643"/>
      <c r="YB394" s="643"/>
      <c r="YC394" s="643"/>
      <c r="YD394" s="643"/>
      <c r="YE394" s="643"/>
      <c r="YF394" s="643"/>
      <c r="YG394" s="643"/>
      <c r="YH394" s="643"/>
      <c r="YI394" s="643"/>
      <c r="YJ394" s="643"/>
      <c r="YK394" s="643"/>
      <c r="YL394" s="643"/>
      <c r="YM394" s="643"/>
      <c r="YN394" s="643"/>
      <c r="YO394" s="643"/>
      <c r="YP394" s="643"/>
      <c r="YQ394" s="643"/>
      <c r="YR394" s="643"/>
      <c r="YS394" s="643"/>
      <c r="YT394" s="643"/>
      <c r="YU394" s="643"/>
      <c r="YV394" s="643"/>
      <c r="YW394" s="643"/>
      <c r="YX394" s="643"/>
      <c r="YY394" s="643"/>
      <c r="YZ394" s="643"/>
      <c r="ZA394" s="643"/>
      <c r="ZB394" s="643"/>
      <c r="ZC394" s="643"/>
      <c r="ZD394" s="643"/>
      <c r="ZE394" s="643"/>
      <c r="ZF394" s="643"/>
      <c r="ZG394" s="643"/>
      <c r="ZH394" s="643"/>
      <c r="ZI394" s="643"/>
      <c r="ZJ394" s="643"/>
      <c r="ZK394" s="643"/>
      <c r="ZL394" s="643"/>
      <c r="ZM394" s="643"/>
      <c r="ZN394" s="643"/>
      <c r="ZO394" s="643"/>
      <c r="ZP394" s="643"/>
      <c r="ZQ394" s="643"/>
      <c r="ZR394" s="643"/>
      <c r="ZS394" s="643"/>
      <c r="ZT394" s="643"/>
      <c r="ZU394" s="643"/>
      <c r="ZV394" s="643"/>
      <c r="ZW394" s="643"/>
      <c r="ZX394" s="643"/>
      <c r="ZY394" s="50"/>
      <c r="ZZ394" s="50"/>
      <c r="AAA394" s="590"/>
      <c r="AAD394" s="113"/>
      <c r="AAE394" s="553">
        <v>1</v>
      </c>
      <c r="AAF394" s="113"/>
      <c r="AAG394" s="78">
        <f>S.BANNER.EQCStart</f>
        <v>41470</v>
      </c>
      <c r="AAH394" s="78">
        <f>S.SubmitStaffRpt</f>
        <v>41527</v>
      </c>
      <c r="AAI394" s="77"/>
      <c r="AAJ394" s="57"/>
      <c r="AAK394" s="57"/>
      <c r="AAL394" s="57"/>
      <c r="AAM394" s="113"/>
      <c r="AAN394"/>
      <c r="AAT394" s="23"/>
      <c r="AAU394" s="44"/>
    </row>
    <row r="395" spans="1:732" ht="15" customHeight="1" outlineLevel="1">
      <c r="A395" s="560"/>
      <c r="B395" s="482" t="str">
        <f>AAJ395</f>
        <v>Select EQC Recommendation in STAFF.RPT.Permanent</v>
      </c>
      <c r="C395" s="730"/>
      <c r="D395" s="191" t="s">
        <v>0</v>
      </c>
      <c r="E395" s="192"/>
      <c r="F395" s="192"/>
      <c r="G395" s="193"/>
      <c r="H395" s="305"/>
      <c r="I395" s="590"/>
      <c r="J395" s="594"/>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c r="BA395" s="50"/>
      <c r="BB395" s="50"/>
      <c r="BC395" s="50"/>
      <c r="BD395" s="50"/>
      <c r="BE395" s="50"/>
      <c r="BF395" s="50"/>
      <c r="BG395" s="50"/>
      <c r="BH395" s="50"/>
      <c r="BI395" s="50"/>
      <c r="BJ395" s="50"/>
      <c r="BK395" s="50"/>
      <c r="BL395" s="50"/>
      <c r="BM395" s="50"/>
      <c r="BN395" s="50"/>
      <c r="BO395" s="50"/>
      <c r="BP395" s="50"/>
      <c r="BQ395" s="50"/>
      <c r="BR395" s="50"/>
      <c r="BS395" s="50"/>
      <c r="BT395" s="50"/>
      <c r="BU395" s="50"/>
      <c r="BV395" s="50"/>
      <c r="BW395" s="50"/>
      <c r="BX395" s="50"/>
      <c r="BY395" s="50"/>
      <c r="BZ395" s="50"/>
      <c r="CA395" s="50"/>
      <c r="CB395" s="50"/>
      <c r="CC395" s="50"/>
      <c r="CD395" s="50"/>
      <c r="CE395" s="50"/>
      <c r="CF395" s="50"/>
      <c r="CG395" s="50"/>
      <c r="CH395" s="50"/>
      <c r="CI395" s="50"/>
      <c r="CJ395" s="50"/>
      <c r="CK395" s="50"/>
      <c r="CL395" s="50"/>
      <c r="CM395" s="50"/>
      <c r="CN395" s="50"/>
      <c r="CO395" s="50"/>
      <c r="CP395" s="50"/>
      <c r="CQ395" s="50"/>
      <c r="CR395" s="50"/>
      <c r="CS395" s="50"/>
      <c r="CT395" s="50"/>
      <c r="CU395" s="50"/>
      <c r="CV395" s="50"/>
      <c r="CW395" s="50"/>
      <c r="CX395" s="50"/>
      <c r="CY395" s="50"/>
      <c r="CZ395" s="50"/>
      <c r="DA395" s="50"/>
      <c r="DB395" s="50"/>
      <c r="DC395" s="50"/>
      <c r="DD395" s="50"/>
      <c r="DE395" s="50"/>
      <c r="DF395" s="50"/>
      <c r="DG395" s="50"/>
      <c r="DH395" s="50"/>
      <c r="DI395" s="50"/>
      <c r="DJ395" s="50"/>
      <c r="DK395" s="50"/>
      <c r="DL395" s="50"/>
      <c r="DM395" s="50"/>
      <c r="DN395" s="50"/>
      <c r="DO395" s="50"/>
      <c r="DP395" s="50"/>
      <c r="DQ395" s="50"/>
      <c r="DR395" s="50"/>
      <c r="DS395" s="50"/>
      <c r="DT395" s="50"/>
      <c r="DU395" s="50"/>
      <c r="DV395" s="50"/>
      <c r="DW395" s="50"/>
      <c r="DX395" s="50"/>
      <c r="DY395" s="50"/>
      <c r="DZ395" s="50"/>
      <c r="EA395" s="50"/>
      <c r="EB395" s="50"/>
      <c r="EC395" s="50"/>
      <c r="ED395" s="50"/>
      <c r="EE395" s="50"/>
      <c r="EF395" s="50"/>
      <c r="EG395" s="50"/>
      <c r="EH395" s="50"/>
      <c r="EI395" s="50"/>
      <c r="EJ395" s="50"/>
      <c r="EK395" s="50"/>
      <c r="EL395" s="50"/>
      <c r="EM395" s="50"/>
      <c r="EN395" s="50"/>
      <c r="EO395" s="50"/>
      <c r="EP395" s="50"/>
      <c r="EQ395" s="50"/>
      <c r="ER395" s="50"/>
      <c r="ES395" s="50"/>
      <c r="ET395" s="50"/>
      <c r="EU395" s="50"/>
      <c r="EV395" s="50"/>
      <c r="EW395" s="50"/>
      <c r="EX395" s="50"/>
      <c r="EY395" s="50"/>
      <c r="EZ395" s="50"/>
      <c r="FA395" s="50"/>
      <c r="FB395" s="50"/>
      <c r="FC395" s="50"/>
      <c r="FD395" s="50"/>
      <c r="FE395" s="50"/>
      <c r="FF395" s="50"/>
      <c r="FG395" s="50"/>
      <c r="FH395" s="50"/>
      <c r="FI395" s="50"/>
      <c r="FJ395" s="50"/>
      <c r="FK395" s="50"/>
      <c r="FL395" s="50"/>
      <c r="FM395" s="50"/>
      <c r="FN395" s="50"/>
      <c r="FO395" s="50"/>
      <c r="FP395" s="50"/>
      <c r="FQ395" s="50"/>
      <c r="FR395" s="50"/>
      <c r="FS395" s="50"/>
      <c r="FT395" s="50"/>
      <c r="FU395" s="50"/>
      <c r="FV395" s="50"/>
      <c r="FW395" s="50"/>
      <c r="FX395" s="50"/>
      <c r="FY395" s="50"/>
      <c r="FZ395" s="50"/>
      <c r="GA395" s="50"/>
      <c r="GB395" s="50"/>
      <c r="GC395" s="50"/>
      <c r="GD395" s="50"/>
      <c r="GE395" s="50"/>
      <c r="GF395" s="50"/>
      <c r="GG395" s="50"/>
      <c r="GH395" s="50"/>
      <c r="GI395" s="50"/>
      <c r="GJ395" s="50"/>
      <c r="GK395" s="50"/>
      <c r="GL395" s="50"/>
      <c r="GM395" s="50"/>
      <c r="GN395" s="50"/>
      <c r="GO395" s="50"/>
      <c r="GP395" s="50"/>
      <c r="GQ395" s="50"/>
      <c r="GR395" s="50"/>
      <c r="GS395" s="50"/>
      <c r="GT395" s="50"/>
      <c r="GU395" s="50"/>
      <c r="GV395" s="50"/>
      <c r="GW395" s="50"/>
      <c r="GX395" s="50"/>
      <c r="GY395" s="50"/>
      <c r="GZ395" s="50"/>
      <c r="HA395" s="50"/>
      <c r="HB395" s="50"/>
      <c r="HC395" s="50"/>
      <c r="HD395" s="50"/>
      <c r="HE395" s="50"/>
      <c r="HF395" s="50"/>
      <c r="HG395" s="50"/>
      <c r="HH395" s="50"/>
      <c r="HI395" s="50"/>
      <c r="HJ395" s="50"/>
      <c r="HK395" s="50"/>
      <c r="HL395" s="50"/>
      <c r="HM395" s="50"/>
      <c r="HN395" s="50"/>
      <c r="HO395" s="50"/>
      <c r="HP395" s="50"/>
      <c r="HQ395" s="50"/>
      <c r="HR395" s="50"/>
      <c r="HS395" s="50"/>
      <c r="HT395" s="50"/>
      <c r="HU395" s="50"/>
      <c r="HV395" s="50"/>
      <c r="HW395" s="50"/>
      <c r="HX395" s="50"/>
      <c r="HY395" s="50"/>
      <c r="HZ395" s="50"/>
      <c r="IA395" s="50"/>
      <c r="IB395" s="50"/>
      <c r="IC395" s="50"/>
      <c r="ID395" s="50"/>
      <c r="IE395" s="50"/>
      <c r="IF395" s="50"/>
      <c r="IG395" s="50"/>
      <c r="IH395" s="50"/>
      <c r="II395" s="50"/>
      <c r="IJ395" s="50"/>
      <c r="IK395" s="50"/>
      <c r="IL395" s="50"/>
      <c r="IM395" s="50"/>
      <c r="IN395" s="50"/>
      <c r="IO395" s="50"/>
      <c r="IP395" s="50"/>
      <c r="IQ395" s="50"/>
      <c r="IR395" s="50"/>
      <c r="IS395" s="50"/>
      <c r="IT395" s="50"/>
      <c r="IU395" s="50"/>
      <c r="IV395" s="50"/>
      <c r="IW395" s="50"/>
      <c r="IX395" s="50"/>
      <c r="IY395" s="50"/>
      <c r="IZ395" s="50"/>
      <c r="JA395" s="50"/>
      <c r="JB395" s="50"/>
      <c r="JC395" s="50"/>
      <c r="JD395" s="50"/>
      <c r="JE395" s="50"/>
      <c r="JF395" s="50"/>
      <c r="JG395" s="50"/>
      <c r="JH395" s="50"/>
      <c r="JI395" s="50"/>
      <c r="JJ395" s="50"/>
      <c r="JK395" s="50"/>
      <c r="JL395" s="50"/>
      <c r="JM395" s="50"/>
      <c r="JN395" s="50"/>
      <c r="JO395" s="50"/>
      <c r="JP395" s="50"/>
      <c r="JQ395" s="50"/>
      <c r="JR395" s="50"/>
      <c r="JS395" s="50"/>
      <c r="JT395" s="50"/>
      <c r="JU395" s="50"/>
      <c r="JV395" s="50"/>
      <c r="JW395" s="50"/>
      <c r="JX395" s="50"/>
      <c r="JY395" s="50"/>
      <c r="JZ395" s="50"/>
      <c r="KA395" s="50"/>
      <c r="KB395" s="50"/>
      <c r="KC395" s="50"/>
      <c r="KD395" s="50"/>
      <c r="KE395" s="50"/>
      <c r="KF395" s="50"/>
      <c r="KG395" s="50"/>
      <c r="KH395" s="50"/>
      <c r="KI395" s="50"/>
      <c r="KJ395" s="50"/>
      <c r="KK395" s="50"/>
      <c r="KL395" s="50"/>
      <c r="KM395" s="50"/>
      <c r="KN395" s="50"/>
      <c r="KO395" s="50"/>
      <c r="KP395" s="50"/>
      <c r="KQ395" s="50"/>
      <c r="KR395" s="50"/>
      <c r="KS395" s="50"/>
      <c r="KT395" s="50"/>
      <c r="KU395" s="50"/>
      <c r="KV395" s="50"/>
      <c r="KW395" s="50"/>
      <c r="KX395" s="50"/>
      <c r="KY395" s="50"/>
      <c r="KZ395" s="50"/>
      <c r="LA395" s="50"/>
      <c r="LB395" s="50"/>
      <c r="LC395" s="50"/>
      <c r="LD395" s="50"/>
      <c r="LE395" s="50"/>
      <c r="LF395" s="50"/>
      <c r="LG395" s="50"/>
      <c r="LH395" s="50"/>
      <c r="LI395" s="50"/>
      <c r="LJ395" s="50"/>
      <c r="LK395" s="50"/>
      <c r="LL395" s="50"/>
      <c r="LM395" s="50"/>
      <c r="LN395" s="50"/>
      <c r="LO395" s="50"/>
      <c r="LP395" s="50"/>
      <c r="LQ395" s="50"/>
      <c r="LR395" s="50"/>
      <c r="LS395" s="50"/>
      <c r="LT395" s="50"/>
      <c r="LU395" s="50"/>
      <c r="LV395" s="50"/>
      <c r="LW395" s="50"/>
      <c r="LX395" s="50"/>
      <c r="LY395" s="50"/>
      <c r="LZ395" s="50"/>
      <c r="MA395" s="50"/>
      <c r="MB395" s="50"/>
      <c r="MC395" s="50"/>
      <c r="MD395" s="50"/>
      <c r="ME395" s="50"/>
      <c r="MF395" s="50"/>
      <c r="MG395" s="50"/>
      <c r="MH395" s="50"/>
      <c r="MI395" s="50"/>
      <c r="MJ395" s="50"/>
      <c r="MK395" s="50"/>
      <c r="ML395" s="50"/>
      <c r="MM395" s="50"/>
      <c r="MN395" s="50"/>
      <c r="MO395" s="50"/>
      <c r="MP395" s="50"/>
      <c r="MQ395" s="50"/>
      <c r="MR395" s="50"/>
      <c r="MS395" s="50"/>
      <c r="MT395" s="50"/>
      <c r="MU395" s="50"/>
      <c r="MV395" s="50"/>
      <c r="MW395" s="50"/>
      <c r="MX395" s="50"/>
      <c r="MY395" s="50"/>
      <c r="MZ395" s="50"/>
      <c r="NA395" s="50"/>
      <c r="NB395" s="50"/>
      <c r="NC395" s="50"/>
      <c r="ND395" s="50"/>
      <c r="NE395" s="50"/>
      <c r="NF395" s="50"/>
      <c r="NG395" s="50"/>
      <c r="NH395" s="50"/>
      <c r="NI395" s="50"/>
      <c r="NJ395" s="50"/>
      <c r="NK395" s="50"/>
      <c r="NL395" s="50"/>
      <c r="NM395" s="50"/>
      <c r="NN395" s="50"/>
      <c r="NO395" s="50"/>
      <c r="NP395" s="50"/>
      <c r="NQ395" s="50"/>
      <c r="NR395" s="50"/>
      <c r="NS395" s="50"/>
      <c r="NT395" s="50"/>
      <c r="NU395" s="50"/>
      <c r="NV395" s="50"/>
      <c r="NW395" s="50"/>
      <c r="NX395" s="50"/>
      <c r="NY395" s="50"/>
      <c r="NZ395" s="50"/>
      <c r="OA395" s="50"/>
      <c r="OB395" s="50"/>
      <c r="OC395" s="50"/>
      <c r="OD395" s="50"/>
      <c r="OE395" s="50"/>
      <c r="OF395" s="50"/>
      <c r="OG395" s="50"/>
      <c r="OH395" s="50"/>
      <c r="OI395" s="50"/>
      <c r="OJ395" s="50"/>
      <c r="OK395" s="50"/>
      <c r="OL395" s="50"/>
      <c r="OM395" s="50"/>
      <c r="ON395" s="50"/>
      <c r="OO395" s="50"/>
      <c r="OP395" s="50"/>
      <c r="OQ395" s="50"/>
      <c r="OR395" s="50"/>
      <c r="OS395" s="50"/>
      <c r="OT395" s="50"/>
      <c r="OU395" s="50"/>
      <c r="OV395" s="50"/>
      <c r="OW395" s="50"/>
      <c r="OX395" s="50"/>
      <c r="OY395" s="50"/>
      <c r="OZ395" s="50"/>
      <c r="PA395" s="50"/>
      <c r="PB395" s="50"/>
      <c r="PC395" s="50"/>
      <c r="PD395" s="50"/>
      <c r="PE395" s="50"/>
      <c r="PF395" s="50"/>
      <c r="PG395" s="50"/>
      <c r="PH395" s="50"/>
      <c r="PI395" s="50"/>
      <c r="PJ395" s="50"/>
      <c r="PK395" s="50"/>
      <c r="PL395" s="50"/>
      <c r="PM395" s="50"/>
      <c r="PN395" s="50"/>
      <c r="PO395" s="50"/>
      <c r="PP395" s="50"/>
      <c r="PQ395" s="50"/>
      <c r="PR395" s="50"/>
      <c r="PS395" s="50"/>
      <c r="PT395" s="50"/>
      <c r="PU395" s="50"/>
      <c r="PV395" s="50"/>
      <c r="PW395" s="50"/>
      <c r="PX395" s="50"/>
      <c r="PY395" s="50"/>
      <c r="PZ395" s="50"/>
      <c r="QA395" s="50"/>
      <c r="QB395" s="50"/>
      <c r="QC395" s="50"/>
      <c r="QD395" s="50"/>
      <c r="QE395" s="50"/>
      <c r="QF395" s="50"/>
      <c r="QG395" s="50"/>
      <c r="QH395" s="50"/>
      <c r="QI395" s="50"/>
      <c r="QJ395" s="50"/>
      <c r="QK395" s="50"/>
      <c r="QL395" s="50"/>
      <c r="QM395" s="50"/>
      <c r="QN395" s="50"/>
      <c r="QO395" s="50"/>
      <c r="QP395" s="50"/>
      <c r="QQ395" s="50"/>
      <c r="QR395" s="50"/>
      <c r="QS395" s="50"/>
      <c r="QT395" s="50"/>
      <c r="QU395" s="50"/>
      <c r="QV395" s="50"/>
      <c r="QW395" s="50"/>
      <c r="QX395" s="50"/>
      <c r="QY395" s="50"/>
      <c r="QZ395" s="50"/>
      <c r="RA395" s="50"/>
      <c r="RB395" s="50"/>
      <c r="RC395" s="50"/>
      <c r="RD395" s="50"/>
      <c r="RE395" s="50"/>
      <c r="RF395" s="50"/>
      <c r="RG395" s="50"/>
      <c r="RH395" s="50"/>
      <c r="RI395" s="50"/>
      <c r="RJ395" s="50"/>
      <c r="RK395" s="50"/>
      <c r="RL395" s="50"/>
      <c r="RM395" s="50"/>
      <c r="RN395" s="50"/>
      <c r="RO395" s="50"/>
      <c r="RP395" s="50"/>
      <c r="RQ395" s="50"/>
      <c r="RR395" s="50"/>
      <c r="RS395" s="50"/>
      <c r="RT395" s="50"/>
      <c r="RU395" s="50"/>
      <c r="RV395" s="50"/>
      <c r="RW395" s="50"/>
      <c r="RX395" s="50"/>
      <c r="RY395" s="50"/>
      <c r="RZ395" s="50"/>
      <c r="SA395" s="50"/>
      <c r="SB395" s="50"/>
      <c r="SC395" s="50"/>
      <c r="SD395" s="50"/>
      <c r="SE395" s="50"/>
      <c r="SF395" s="50"/>
      <c r="SG395" s="50"/>
      <c r="SH395" s="50"/>
      <c r="SI395" s="50"/>
      <c r="SJ395" s="50"/>
      <c r="SK395" s="50"/>
      <c r="SL395" s="50"/>
      <c r="SM395" s="50"/>
      <c r="SN395" s="50"/>
      <c r="SO395" s="50"/>
      <c r="SP395" s="50"/>
      <c r="SQ395" s="50"/>
      <c r="SR395" s="50"/>
      <c r="SS395" s="50"/>
      <c r="ST395" s="50"/>
      <c r="SU395" s="50"/>
      <c r="SV395" s="50"/>
      <c r="SW395" s="50"/>
      <c r="SX395" s="50"/>
      <c r="SY395" s="50"/>
      <c r="SZ395" s="50"/>
      <c r="TA395" s="50"/>
      <c r="TB395" s="50"/>
      <c r="TC395" s="50"/>
      <c r="TD395" s="50"/>
      <c r="TE395" s="50"/>
      <c r="TF395" s="50"/>
      <c r="TG395" s="50"/>
      <c r="TH395" s="50"/>
      <c r="TI395" s="50"/>
      <c r="TJ395" s="50"/>
      <c r="TK395" s="50"/>
      <c r="TL395" s="50"/>
      <c r="TM395" s="50"/>
      <c r="TN395" s="50"/>
      <c r="TO395" s="50"/>
      <c r="TP395" s="50"/>
      <c r="TQ395" s="50"/>
      <c r="TR395" s="50"/>
      <c r="TS395" s="50"/>
      <c r="TT395" s="50"/>
      <c r="TU395" s="50"/>
      <c r="TV395" s="50"/>
      <c r="TW395" s="50"/>
      <c r="TX395" s="50"/>
      <c r="TY395" s="50"/>
      <c r="TZ395" s="50"/>
      <c r="UA395" s="50"/>
      <c r="UB395" s="50"/>
      <c r="UC395" s="50"/>
      <c r="UD395" s="50"/>
      <c r="UE395" s="50"/>
      <c r="UF395" s="50"/>
      <c r="UG395" s="50"/>
      <c r="UH395" s="50"/>
      <c r="UI395" s="50"/>
      <c r="UJ395" s="50"/>
      <c r="UK395" s="50"/>
      <c r="UL395" s="50"/>
      <c r="UM395" s="50"/>
      <c r="UN395" s="50"/>
      <c r="UO395" s="50"/>
      <c r="UP395" s="50"/>
      <c r="UQ395" s="50"/>
      <c r="UR395" s="50"/>
      <c r="US395" s="50"/>
      <c r="UT395" s="50"/>
      <c r="UU395" s="50"/>
      <c r="UV395" s="50"/>
      <c r="UW395" s="50"/>
      <c r="UX395" s="50"/>
      <c r="UY395" s="50"/>
      <c r="UZ395" s="50"/>
      <c r="VA395" s="50"/>
      <c r="VB395" s="50"/>
      <c r="VC395" s="50"/>
      <c r="VD395" s="50"/>
      <c r="VE395" s="50"/>
      <c r="VF395" s="50"/>
      <c r="VG395" s="50"/>
      <c r="VH395" s="50"/>
      <c r="VI395" s="50"/>
      <c r="VJ395" s="50"/>
      <c r="VK395" s="50"/>
      <c r="VL395" s="50"/>
      <c r="VM395" s="50"/>
      <c r="VN395" s="50"/>
      <c r="VO395" s="50"/>
      <c r="VP395" s="50"/>
      <c r="VQ395" s="50"/>
      <c r="VR395" s="50"/>
      <c r="VS395" s="50"/>
      <c r="VT395" s="50"/>
      <c r="VU395" s="50"/>
      <c r="VV395" s="50"/>
      <c r="VW395" s="50"/>
      <c r="VX395" s="50"/>
      <c r="VY395" s="50"/>
      <c r="VZ395" s="50"/>
      <c r="WA395" s="50"/>
      <c r="WB395" s="50"/>
      <c r="WC395" s="50"/>
      <c r="WD395" s="50"/>
      <c r="WE395" s="50"/>
      <c r="WF395" s="50"/>
      <c r="WG395" s="50"/>
      <c r="WH395" s="50"/>
      <c r="WI395" s="50"/>
      <c r="WJ395" s="50"/>
      <c r="WK395" s="50"/>
      <c r="WL395" s="50"/>
      <c r="WM395" s="50"/>
      <c r="WN395" s="50"/>
      <c r="WO395" s="50"/>
      <c r="WP395" s="50"/>
      <c r="WQ395" s="50"/>
      <c r="WR395" s="50"/>
      <c r="WS395" s="50"/>
      <c r="WT395" s="50"/>
      <c r="WU395" s="50"/>
      <c r="WV395" s="50"/>
      <c r="WW395" s="50"/>
      <c r="WX395" s="50"/>
      <c r="WY395" s="50"/>
      <c r="WZ395" s="50"/>
      <c r="XA395" s="50"/>
      <c r="XB395" s="50"/>
      <c r="XC395" s="50"/>
      <c r="XD395" s="50"/>
      <c r="XE395" s="50"/>
      <c r="XF395" s="50"/>
      <c r="XG395" s="50"/>
      <c r="XH395" s="50"/>
      <c r="XI395" s="50"/>
      <c r="XJ395" s="50"/>
      <c r="XK395" s="50"/>
      <c r="XL395" s="50"/>
      <c r="XM395" s="50"/>
      <c r="XN395" s="50"/>
      <c r="XO395" s="50"/>
      <c r="XP395" s="50"/>
      <c r="XQ395" s="50"/>
      <c r="XR395" s="50"/>
      <c r="XS395" s="50"/>
      <c r="XT395" s="50"/>
      <c r="XU395" s="50"/>
      <c r="XV395" s="50"/>
      <c r="XW395" s="50"/>
      <c r="XX395" s="50"/>
      <c r="XY395" s="50"/>
      <c r="XZ395" s="50"/>
      <c r="YA395" s="50"/>
      <c r="YB395" s="50"/>
      <c r="YC395" s="50"/>
      <c r="YD395" s="50"/>
      <c r="YE395" s="50"/>
      <c r="YF395" s="50"/>
      <c r="YG395" s="50"/>
      <c r="YH395" s="50"/>
      <c r="YI395" s="50"/>
      <c r="YJ395" s="50"/>
      <c r="YK395" s="50"/>
      <c r="YL395" s="50"/>
      <c r="YM395" s="50"/>
      <c r="YN395" s="50"/>
      <c r="YO395" s="50"/>
      <c r="YP395" s="50"/>
      <c r="YQ395" s="50"/>
      <c r="YR395" s="50"/>
      <c r="YS395" s="50"/>
      <c r="YT395" s="50"/>
      <c r="YU395" s="50"/>
      <c r="YV395" s="50"/>
      <c r="YW395" s="50"/>
      <c r="YX395" s="50"/>
      <c r="YY395" s="50"/>
      <c r="YZ395" s="50"/>
      <c r="ZA395" s="50"/>
      <c r="ZB395" s="50"/>
      <c r="ZC395" s="50"/>
      <c r="ZD395" s="50"/>
      <c r="ZE395" s="50"/>
      <c r="ZF395" s="50"/>
      <c r="ZG395" s="50"/>
      <c r="ZH395" s="50"/>
      <c r="ZI395" s="50"/>
      <c r="ZJ395" s="50"/>
      <c r="ZK395" s="50"/>
      <c r="ZL395" s="50"/>
      <c r="ZM395" s="50"/>
      <c r="ZN395" s="50"/>
      <c r="ZO395" s="50"/>
      <c r="ZP395" s="50"/>
      <c r="ZQ395" s="50"/>
      <c r="ZR395" s="50"/>
      <c r="ZS395" s="50"/>
      <c r="ZT395" s="50"/>
      <c r="ZU395" s="50"/>
      <c r="ZV395" s="50"/>
      <c r="ZW395" s="50"/>
      <c r="ZX395" s="50"/>
      <c r="ZY395" s="620"/>
      <c r="ZZ395" s="36"/>
      <c r="AAA395" s="590"/>
      <c r="AAD395" s="113"/>
      <c r="AAE395" s="553">
        <v>1</v>
      </c>
      <c r="AAF395" s="585" t="s">
        <v>199</v>
      </c>
      <c r="AAG395" s="118"/>
      <c r="AAH395" s="118"/>
      <c r="AAI395" s="77"/>
      <c r="AAJ395" s="89" t="str">
        <f>IF(S.RuleType=1,"Select EQC Recommendation in "&amp;S.CodeName&amp;"STAFF.RPT.Permanent","Select EQC Recommendation in "&amp;S.CodeName&amp;"STAFF.RPT.Temporary")</f>
        <v>Select EQC Recommendation in STAFF.RPT.Permanent</v>
      </c>
      <c r="AAK395" s="576"/>
      <c r="AAL395" s="57"/>
      <c r="AAM395" s="113"/>
      <c r="AAN395"/>
      <c r="AAT395" s="23"/>
      <c r="AAU395" s="44"/>
      <c r="AAV395" s="23"/>
      <c r="AAW395" s="23"/>
      <c r="AAX395" s="23"/>
      <c r="AAY395" s="23"/>
      <c r="AAZ395" s="23"/>
      <c r="ABA395" s="23"/>
      <c r="ABB395" s="23"/>
      <c r="ABC395" s="23"/>
      <c r="ABD395" s="23"/>
    </row>
    <row r="396" spans="1:732" ht="15" customHeight="1" outlineLevel="1">
      <c r="A396" s="560"/>
      <c r="B396" s="476" t="str">
        <f>AAJ396</f>
        <v>Integrate NOTICE into STAFF.RPT.Permanent</v>
      </c>
      <c r="C396" s="730"/>
      <c r="D396" s="162"/>
      <c r="E396" s="161"/>
      <c r="F396" s="161"/>
      <c r="G396" s="162"/>
      <c r="H396" s="162"/>
      <c r="I396" s="590"/>
      <c r="J396" s="594"/>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20"/>
      <c r="ZZ396" s="36"/>
      <c r="AAA396" s="590"/>
      <c r="AAD396" s="113"/>
      <c r="AAE396" s="553">
        <f>IF(S.InvolveNotice=TRUE,1,0)</f>
        <v>1</v>
      </c>
      <c r="AAF396" s="585" t="s">
        <v>199</v>
      </c>
      <c r="AAG396" s="118"/>
      <c r="AAH396" s="118"/>
      <c r="AAI396" s="77"/>
      <c r="AAJ396" s="89" t="str">
        <f>IF(S.RuleType=1,"Integrate NOTICE into "&amp;S.CodeName&amp;"STAFF.RPT.Permanent","Integrate NOTICE into "&amp;S.CodeName&amp;"STAFF.RPT.Temporary")</f>
        <v>Integrate NOTICE into STAFF.RPT.Permanent</v>
      </c>
      <c r="AAK396" s="576"/>
      <c r="AAL396" s="57"/>
      <c r="AAM396" s="113"/>
      <c r="AAN396"/>
      <c r="AAT396" s="23"/>
      <c r="AAU396" s="44"/>
    </row>
    <row r="397" spans="1:732" s="23" customFormat="1" ht="15" customHeight="1" outlineLevel="1">
      <c r="A397" s="560"/>
      <c r="B397" s="476" t="str">
        <f>AAJ397</f>
        <v xml:space="preserve">Copy/save PROPOSED.RULES version 4.0~ as </v>
      </c>
      <c r="C397" s="730"/>
      <c r="D397" s="162"/>
      <c r="E397" s="161"/>
      <c r="F397" s="161"/>
      <c r="G397" s="162"/>
      <c r="H397" s="162"/>
      <c r="I397" s="590"/>
      <c r="J397" s="594"/>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20"/>
      <c r="ZZ397" s="36"/>
      <c r="AAA397" s="590"/>
      <c r="AAB397"/>
      <c r="AAC397"/>
      <c r="AAD397" s="113"/>
      <c r="AAE397" s="553">
        <v>1</v>
      </c>
      <c r="AAF397" s="585" t="s">
        <v>199</v>
      </c>
      <c r="AAG397" s="118"/>
      <c r="AAH397" s="118"/>
      <c r="AAI397" s="77"/>
      <c r="AAJ397" s="89" t="str">
        <f>"Copy/save PROPOSED.RULES version 4.0~ as "</f>
        <v xml:space="preserve">Copy/save PROPOSED.RULES version 4.0~ as </v>
      </c>
      <c r="AAK397" s="576"/>
      <c r="AAL397" s="57"/>
      <c r="AAM397" s="113"/>
      <c r="AAU397" s="44"/>
      <c r="AAV397"/>
      <c r="AAW397"/>
      <c r="AAX397"/>
      <c r="AAY397"/>
      <c r="AAZ397"/>
      <c r="ABA397"/>
      <c r="ABB397"/>
      <c r="ABC397"/>
      <c r="ABD397"/>
    </row>
    <row r="398" spans="1:732" ht="15" customHeight="1" outlineLevel="1">
      <c r="A398" s="560"/>
      <c r="B398" s="671" t="s">
        <v>347</v>
      </c>
      <c r="C398" s="306" t="s">
        <v>94</v>
      </c>
      <c r="D398" s="154"/>
      <c r="E398" s="155"/>
      <c r="F398" s="155"/>
      <c r="G398" s="154"/>
      <c r="H398" s="154"/>
      <c r="I398" s="590"/>
      <c r="J398" s="594"/>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20"/>
      <c r="ZZ398" s="36"/>
      <c r="AAA398" s="590"/>
      <c r="AAD398" s="113"/>
      <c r="AAE398" s="553">
        <v>1</v>
      </c>
      <c r="AAF398" s="585" t="s">
        <v>199</v>
      </c>
      <c r="AAG398" s="118"/>
      <c r="AAH398" s="118"/>
      <c r="AAI398" s="77"/>
      <c r="AAJ398" s="89" t="str">
        <f>"Verify "&amp;S.CodeName&amp;"PROPOSED.RULES.6.01"</f>
        <v>Verify PROPOSED.RULES.6.01</v>
      </c>
      <c r="AAK398" s="576"/>
      <c r="AAL398" s="57"/>
      <c r="AAM398" s="113"/>
      <c r="AAN398"/>
      <c r="AAT398" s="23"/>
      <c r="AAU398" s="44"/>
    </row>
    <row r="399" spans="1:732" ht="15" customHeight="1" outlineLevel="1">
      <c r="A399" s="560"/>
      <c r="B399" s="483" t="s">
        <v>42</v>
      </c>
      <c r="C399" s="731"/>
      <c r="D399" s="175"/>
      <c r="E399" s="161"/>
      <c r="F399" s="161"/>
      <c r="G399" s="175"/>
      <c r="H399" s="175"/>
      <c r="I399" s="590"/>
      <c r="J399" s="594"/>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20"/>
      <c r="ZZ399" s="36"/>
      <c r="AAA399" s="590"/>
      <c r="AAD399" s="113"/>
      <c r="AAE399" s="553">
        <f t="shared" ref="AAE399:AAE404" si="983">IF(S.InvolveNotice=TRUE,1,0)</f>
        <v>1</v>
      </c>
      <c r="AAF399" s="585" t="s">
        <v>199</v>
      </c>
      <c r="AAG399" s="118"/>
      <c r="AAH399" s="118"/>
      <c r="AAI399" s="77"/>
      <c r="AAJ399" s="57"/>
      <c r="AAK399" s="57"/>
      <c r="AAL399" s="57"/>
      <c r="AAM399" s="113"/>
      <c r="AAN399"/>
      <c r="AAT399" s="23"/>
      <c r="AAU399" s="44"/>
    </row>
    <row r="400" spans="1:732" ht="15" customHeight="1" outlineLevel="1">
      <c r="A400" s="560"/>
      <c r="B400" s="347" t="s">
        <v>41</v>
      </c>
      <c r="C400" s="732"/>
      <c r="D400" s="175"/>
      <c r="E400" s="161"/>
      <c r="F400" s="161"/>
      <c r="G400" s="175"/>
      <c r="H400" s="175"/>
      <c r="I400" s="590"/>
      <c r="J400" s="594"/>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20"/>
      <c r="ZZ400" s="36"/>
      <c r="AAA400" s="590"/>
      <c r="AAD400" s="113"/>
      <c r="AAE400" s="553">
        <f t="shared" si="983"/>
        <v>1</v>
      </c>
      <c r="AAF400" s="585" t="s">
        <v>199</v>
      </c>
      <c r="AAG400" s="118"/>
      <c r="AAH400" s="118"/>
      <c r="AAI400" s="77"/>
      <c r="AAJ400" s="57"/>
      <c r="AAK400" s="57"/>
      <c r="AAL400" s="57"/>
      <c r="AAM400" s="113"/>
      <c r="AAN400"/>
      <c r="AAT400" s="23"/>
      <c r="AAU400" s="44"/>
    </row>
    <row r="401" spans="1:732" ht="15" customHeight="1" outlineLevel="1">
      <c r="A401" s="560"/>
      <c r="B401" s="347" t="s">
        <v>40</v>
      </c>
      <c r="C401" s="732"/>
      <c r="D401" s="175"/>
      <c r="E401" s="161"/>
      <c r="F401" s="161"/>
      <c r="G401" s="175"/>
      <c r="H401" s="175"/>
      <c r="I401" s="590"/>
      <c r="J401" s="594"/>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20"/>
      <c r="ZZ401" s="36"/>
      <c r="AAA401" s="590"/>
      <c r="AAD401" s="113"/>
      <c r="AAE401" s="553">
        <f t="shared" si="983"/>
        <v>1</v>
      </c>
      <c r="AAF401" s="585" t="s">
        <v>199</v>
      </c>
      <c r="AAG401" s="118"/>
      <c r="AAH401" s="118"/>
      <c r="AAI401" s="77"/>
      <c r="AAJ401" s="57"/>
      <c r="AAK401" s="57"/>
      <c r="AAL401" s="57"/>
      <c r="AAM401" s="113"/>
      <c r="AAN401"/>
      <c r="AAT401" s="23"/>
      <c r="AAU401" s="44"/>
    </row>
    <row r="402" spans="1:732" ht="15" customHeight="1" outlineLevel="1">
      <c r="A402" s="560"/>
      <c r="B402" s="347" t="s">
        <v>39</v>
      </c>
      <c r="C402" s="732"/>
      <c r="D402" s="175"/>
      <c r="E402" s="161"/>
      <c r="F402" s="161"/>
      <c r="G402" s="175"/>
      <c r="H402" s="175"/>
      <c r="I402" s="590"/>
      <c r="J402" s="594"/>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20"/>
      <c r="ZZ402" s="36"/>
      <c r="AAA402" s="590"/>
      <c r="AAD402" s="113"/>
      <c r="AAE402" s="553">
        <f t="shared" si="983"/>
        <v>1</v>
      </c>
      <c r="AAF402" s="585" t="s">
        <v>199</v>
      </c>
      <c r="AAG402" s="118"/>
      <c r="AAH402" s="118"/>
      <c r="AAI402" s="77"/>
      <c r="AAJ402" s="57"/>
      <c r="AAK402" s="57"/>
      <c r="AAL402" s="57"/>
      <c r="AAM402" s="113"/>
      <c r="AAN402"/>
      <c r="AAT402" s="23"/>
      <c r="AAU402" s="44"/>
    </row>
    <row r="403" spans="1:732" ht="15" customHeight="1" outlineLevel="1">
      <c r="A403" s="560"/>
      <c r="B403" s="347" t="s">
        <v>1</v>
      </c>
      <c r="C403" s="732"/>
      <c r="D403" s="175"/>
      <c r="E403" s="161"/>
      <c r="F403" s="161"/>
      <c r="G403" s="175"/>
      <c r="H403" s="175"/>
      <c r="I403" s="590"/>
      <c r="J403" s="594"/>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20"/>
      <c r="ZZ403" s="36"/>
      <c r="AAA403" s="590"/>
      <c r="AAD403" s="113"/>
      <c r="AAE403" s="553">
        <f t="shared" si="983"/>
        <v>1</v>
      </c>
      <c r="AAF403" s="585" t="s">
        <v>199</v>
      </c>
      <c r="AAG403" s="118"/>
      <c r="AAH403" s="118"/>
      <c r="AAI403" s="77"/>
      <c r="AAJ403" s="57"/>
      <c r="AAK403" s="57"/>
      <c r="AAL403" s="57"/>
      <c r="AAM403" s="113"/>
      <c r="AAN403"/>
      <c r="AAT403" s="23"/>
      <c r="AAU403" s="44"/>
    </row>
    <row r="404" spans="1:732" ht="15" customHeight="1" outlineLevel="1">
      <c r="A404" s="560"/>
      <c r="B404" s="484" t="s">
        <v>38</v>
      </c>
      <c r="C404" s="732"/>
      <c r="D404" s="175"/>
      <c r="E404" s="161"/>
      <c r="F404" s="161"/>
      <c r="G404" s="175"/>
      <c r="H404" s="175"/>
      <c r="I404" s="590"/>
      <c r="J404" s="594"/>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20"/>
      <c r="ZZ404" s="36"/>
      <c r="AAA404" s="590"/>
      <c r="AAD404" s="113"/>
      <c r="AAE404" s="553">
        <f t="shared" si="983"/>
        <v>1</v>
      </c>
      <c r="AAF404" s="585" t="s">
        <v>199</v>
      </c>
      <c r="AAG404" s="118"/>
      <c r="AAH404" s="118"/>
      <c r="AAI404" s="77"/>
      <c r="AAJ404" s="57"/>
      <c r="AAK404" s="57"/>
      <c r="AAL404" s="57"/>
      <c r="AAM404" s="113"/>
      <c r="AAN404"/>
      <c r="AAT404" s="23"/>
      <c r="AAU404" s="44"/>
    </row>
    <row r="405" spans="1:732" ht="15" customHeight="1" outlineLevel="1">
      <c r="A405" s="560"/>
      <c r="B405" s="463" t="s">
        <v>175</v>
      </c>
      <c r="C405" s="729" t="s">
        <v>0</v>
      </c>
      <c r="D405" s="278" t="s">
        <v>167</v>
      </c>
      <c r="E405" s="437">
        <f t="shared" ref="E405" si="984">NETWORKDAYS(G405,H405,S.DDL_DEQClosed)</f>
        <v>41</v>
      </c>
      <c r="F405" s="493">
        <f t="shared" ref="F405" ca="1" si="985">NETWORKDAYS(TODAY(),H405)</f>
        <v>105</v>
      </c>
      <c r="G405" s="438">
        <f t="shared" ref="G405:H405" si="986">AAG405</f>
        <v>41470</v>
      </c>
      <c r="H405" s="438">
        <f t="shared" si="986"/>
        <v>41527</v>
      </c>
      <c r="I405" s="629"/>
      <c r="J405" s="594"/>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50"/>
      <c r="ZZ405" s="50"/>
      <c r="AAA405" s="590"/>
      <c r="AAD405" s="113"/>
      <c r="AAE405" s="553">
        <v>1</v>
      </c>
      <c r="AAF405" s="113"/>
      <c r="AAG405" s="78">
        <f>S.BANNER.EQCStart</f>
        <v>41470</v>
      </c>
      <c r="AAH405" s="78">
        <f t="shared" ref="AAH405" si="987">S.SubmitStaffRpt</f>
        <v>41527</v>
      </c>
      <c r="AAI405" s="77"/>
      <c r="AAJ405" s="57"/>
      <c r="AAK405" s="57"/>
      <c r="AAL405" s="57"/>
      <c r="AAM405" s="113"/>
      <c r="AAN405"/>
      <c r="AAT405" s="23"/>
      <c r="AAU405" s="44"/>
    </row>
    <row r="406" spans="1:732" ht="15" customHeight="1" outlineLevel="1">
      <c r="A406" s="560"/>
      <c r="B406" s="485" t="str">
        <f>AAJ406</f>
        <v>Finalize following sections in STAFF.RPT.Permanent</v>
      </c>
      <c r="C406" s="194"/>
      <c r="D406" s="175"/>
      <c r="E406" s="161"/>
      <c r="F406" s="161"/>
      <c r="G406" s="175"/>
      <c r="H406" s="175"/>
      <c r="I406" s="590"/>
      <c r="J406" s="594"/>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620"/>
      <c r="ZZ406" s="36"/>
      <c r="AAA406" s="590"/>
      <c r="AAD406" s="113"/>
      <c r="AAE406" s="553">
        <v>1</v>
      </c>
      <c r="AAF406" s="585" t="s">
        <v>199</v>
      </c>
      <c r="AAG406" s="118"/>
      <c r="AAH406" s="118"/>
      <c r="AAI406" s="77"/>
      <c r="AAJ406" s="89" t="str">
        <f>IF(S.RuleType=1,"Finalize following sections in "&amp;S.CodeName&amp;"STAFF.RPT.Permanent","Finalize following sections in "&amp;S.CodeName&amp;"STAFF.RPT.Temporary")</f>
        <v>Finalize following sections in STAFF.RPT.Permanent</v>
      </c>
      <c r="AAK406" s="576"/>
      <c r="AAL406" s="57"/>
      <c r="AAM406" s="113"/>
      <c r="AAN406"/>
      <c r="AAT406" s="23"/>
      <c r="AAU406" s="44"/>
    </row>
    <row r="407" spans="1:732" ht="15" customHeight="1" outlineLevel="1">
      <c r="A407" s="560"/>
      <c r="B407" s="363" t="s">
        <v>37</v>
      </c>
      <c r="C407" s="730"/>
      <c r="D407" s="162"/>
      <c r="E407" s="161"/>
      <c r="F407" s="161"/>
      <c r="G407" s="162"/>
      <c r="H407" s="162"/>
      <c r="I407" s="590"/>
      <c r="J407" s="594"/>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20"/>
      <c r="ZZ407" s="36"/>
      <c r="AAA407" s="590"/>
      <c r="AAD407" s="113"/>
      <c r="AAE407" s="553">
        <v>1</v>
      </c>
      <c r="AAF407" s="585" t="s">
        <v>199</v>
      </c>
      <c r="AAG407" s="118"/>
      <c r="AAH407" s="118"/>
      <c r="AAI407" s="77"/>
      <c r="AAJ407" s="57"/>
      <c r="AAK407" s="57"/>
      <c r="AAL407" s="57"/>
      <c r="AAM407" s="113"/>
      <c r="AAN407"/>
      <c r="AAT407" s="23"/>
      <c r="AAU407" s="44"/>
    </row>
    <row r="408" spans="1:732" ht="15" customHeight="1" outlineLevel="1">
      <c r="A408" s="560"/>
      <c r="B408" s="363" t="s">
        <v>160</v>
      </c>
      <c r="C408" s="730"/>
      <c r="D408" s="162"/>
      <c r="E408" s="161"/>
      <c r="F408" s="161"/>
      <c r="G408" s="162"/>
      <c r="H408" s="162"/>
      <c r="I408" s="590"/>
      <c r="J408" s="594"/>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20"/>
      <c r="ZZ408" s="36"/>
      <c r="AAA408" s="590"/>
      <c r="AAD408" s="113"/>
      <c r="AAE408" s="553">
        <v>1</v>
      </c>
      <c r="AAF408" s="585" t="s">
        <v>199</v>
      </c>
      <c r="AAG408" s="118"/>
      <c r="AAH408" s="118"/>
      <c r="AAI408" s="77"/>
      <c r="AAJ408" s="57"/>
      <c r="AAK408" s="57"/>
      <c r="AAL408" s="57"/>
      <c r="AAM408" s="113"/>
      <c r="AAN408"/>
      <c r="AAT408" s="23"/>
      <c r="AAU408" s="44"/>
    </row>
    <row r="409" spans="1:732" ht="15" customHeight="1" outlineLevel="1">
      <c r="A409" s="560"/>
      <c r="B409" s="363" t="s">
        <v>36</v>
      </c>
      <c r="C409" s="730"/>
      <c r="D409" s="162"/>
      <c r="E409" s="161"/>
      <c r="F409" s="161"/>
      <c r="G409" s="162"/>
      <c r="H409" s="162"/>
      <c r="I409" s="590"/>
      <c r="J409" s="594"/>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20"/>
      <c r="ZZ409" s="36"/>
      <c r="AAA409" s="590"/>
      <c r="AAD409" s="113"/>
      <c r="AAE409" s="553">
        <v>1</v>
      </c>
      <c r="AAF409" s="585" t="s">
        <v>199</v>
      </c>
      <c r="AAG409" s="118"/>
      <c r="AAH409" s="118"/>
      <c r="AAI409" s="77"/>
      <c r="AAJ409" s="57"/>
      <c r="AAK409" s="57"/>
      <c r="AAL409" s="57"/>
      <c r="AAM409" s="113"/>
      <c r="AAN409"/>
      <c r="AAT409" s="23"/>
      <c r="AAU409" s="44"/>
    </row>
    <row r="410" spans="1:732" ht="15" customHeight="1" outlineLevel="1">
      <c r="A410" s="560"/>
      <c r="B410" s="363" t="s">
        <v>14</v>
      </c>
      <c r="C410" s="730"/>
      <c r="D410" s="162"/>
      <c r="E410" s="161"/>
      <c r="F410" s="161"/>
      <c r="G410" s="162"/>
      <c r="H410" s="162"/>
      <c r="I410" s="590"/>
      <c r="J410" s="594"/>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20"/>
      <c r="ZZ410" s="36"/>
      <c r="AAA410" s="590"/>
      <c r="AAD410" s="113"/>
      <c r="AAE410" s="553">
        <v>1</v>
      </c>
      <c r="AAF410" s="585" t="s">
        <v>199</v>
      </c>
      <c r="AAG410" s="118"/>
      <c r="AAH410" s="118"/>
      <c r="AAI410" s="77"/>
      <c r="AAJ410" s="57"/>
      <c r="AAK410" s="57"/>
      <c r="AAL410" s="57"/>
      <c r="AAM410" s="113"/>
      <c r="AAN410"/>
      <c r="AAT410" s="23"/>
      <c r="AAU410" s="44"/>
    </row>
    <row r="411" spans="1:732" ht="15" customHeight="1" outlineLevel="1">
      <c r="A411" s="560"/>
      <c r="B411" s="363" t="s">
        <v>35</v>
      </c>
      <c r="C411" s="730"/>
      <c r="D411" s="162"/>
      <c r="E411" s="161"/>
      <c r="F411" s="161"/>
      <c r="G411" s="162"/>
      <c r="H411" s="162"/>
      <c r="I411" s="590"/>
      <c r="J411" s="594"/>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20"/>
      <c r="ZZ411" s="36"/>
      <c r="AAA411" s="590"/>
      <c r="AAD411" s="113"/>
      <c r="AAE411" s="553">
        <f>IF(S.InvolveNotice=TRUE,1,0)</f>
        <v>1</v>
      </c>
      <c r="AAF411" s="585" t="s">
        <v>199</v>
      </c>
      <c r="AAG411" s="118"/>
      <c r="AAH411" s="118"/>
      <c r="AAI411" s="77"/>
      <c r="AAJ411" s="57"/>
      <c r="AAK411" s="57"/>
      <c r="AAL411" s="57"/>
      <c r="AAM411" s="113"/>
      <c r="AAN411"/>
      <c r="AAT411" s="23"/>
      <c r="AAU411" s="44"/>
    </row>
    <row r="412" spans="1:732" ht="15" customHeight="1" outlineLevel="1">
      <c r="A412" s="560"/>
      <c r="B412" s="363" t="s">
        <v>34</v>
      </c>
      <c r="C412" s="730"/>
      <c r="D412" s="175"/>
      <c r="E412" s="183"/>
      <c r="F412" s="183"/>
      <c r="G412" s="175"/>
      <c r="H412" s="175"/>
      <c r="I412" s="590"/>
      <c r="J412" s="594"/>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20"/>
      <c r="ZZ412" s="36"/>
      <c r="AAA412" s="590"/>
      <c r="AAD412" s="113"/>
      <c r="AAE412" s="553">
        <f>IF(S.InvolveNotice=TRUE,1,0)</f>
        <v>1</v>
      </c>
      <c r="AAF412" s="585" t="s">
        <v>199</v>
      </c>
      <c r="AAG412" s="118"/>
      <c r="AAH412" s="118"/>
      <c r="AAI412" s="77"/>
      <c r="AAJ412" s="57"/>
      <c r="AAK412" s="57"/>
      <c r="AAL412" s="57"/>
      <c r="AAM412" s="113"/>
      <c r="AAN412"/>
      <c r="AAT412" s="23"/>
      <c r="AAU412" s="44"/>
    </row>
    <row r="413" spans="1:732" ht="15" customHeight="1" outlineLevel="1">
      <c r="A413" s="560"/>
      <c r="B413" s="363" t="s">
        <v>209</v>
      </c>
      <c r="C413" s="730"/>
      <c r="D413" s="175"/>
      <c r="E413" s="183"/>
      <c r="F413" s="183"/>
      <c r="G413" s="175"/>
      <c r="H413" s="175"/>
      <c r="I413" s="590"/>
      <c r="J413" s="594"/>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20"/>
      <c r="ZZ413" s="36"/>
      <c r="AAA413" s="590"/>
      <c r="AAD413" s="113"/>
      <c r="AAE413" s="553">
        <v>1</v>
      </c>
      <c r="AAF413" s="585" t="s">
        <v>199</v>
      </c>
      <c r="AAG413" s="118"/>
      <c r="AAH413" s="118"/>
      <c r="AAI413" s="77"/>
      <c r="AAJ413" s="57"/>
      <c r="AAK413" s="57"/>
      <c r="AAL413" s="57"/>
      <c r="AAM413" s="113"/>
      <c r="AAN413"/>
      <c r="AAT413" s="23"/>
      <c r="AAU413" s="44"/>
      <c r="AAV413" s="23"/>
      <c r="AAW413" s="23"/>
      <c r="AAX413" s="23"/>
      <c r="AAY413" s="23"/>
      <c r="AAZ413" s="23"/>
      <c r="ABA413" s="23"/>
      <c r="ABB413" s="23"/>
      <c r="ABC413" s="23"/>
      <c r="ABD413" s="23"/>
    </row>
    <row r="414" spans="1:732" ht="15" customHeight="1" outlineLevel="1">
      <c r="A414" s="560"/>
      <c r="B414" s="344" t="s">
        <v>305</v>
      </c>
      <c r="C414" s="195"/>
      <c r="D414" s="278" t="s">
        <v>161</v>
      </c>
      <c r="E414" s="437">
        <f t="shared" ref="E414" si="988">NETWORKDAYS(G414,H414,S.DDL_DEQClosed)</f>
        <v>41</v>
      </c>
      <c r="F414" s="493">
        <f t="shared" ref="F414" ca="1" si="989">NETWORKDAYS(TODAY(),H414)</f>
        <v>105</v>
      </c>
      <c r="G414" s="438">
        <f t="shared" ref="G414:H414" si="990">AAG414</f>
        <v>41470</v>
      </c>
      <c r="H414" s="438">
        <f t="shared" si="990"/>
        <v>41527</v>
      </c>
      <c r="I414" s="629"/>
      <c r="J414" s="594"/>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50"/>
      <c r="ZZ414" s="50"/>
      <c r="AAA414" s="590"/>
      <c r="AAD414" s="113"/>
      <c r="AAE414" s="553">
        <v>1</v>
      </c>
      <c r="AAF414" s="113"/>
      <c r="AAG414" s="78">
        <f>S.BANNER.EQCStart</f>
        <v>41470</v>
      </c>
      <c r="AAH414" s="78">
        <f t="shared" ref="AAH414" si="991">S.SubmitStaffRpt</f>
        <v>41527</v>
      </c>
      <c r="AAI414" s="77"/>
      <c r="AAJ414" s="89" t="str">
        <f>IF(S.RuleType=1,"STAFF.RPT.Permanent","STAFF.RPT.Temporary")</f>
        <v>STAFF.RPT.Permanent</v>
      </c>
      <c r="AAK414" s="576"/>
      <c r="AAL414" s="57"/>
      <c r="AAM414" s="113"/>
      <c r="AAN414"/>
      <c r="AAT414" s="23"/>
      <c r="AAU414" s="44"/>
    </row>
    <row r="415" spans="1:732" s="23" customFormat="1" ht="15" customHeight="1" outlineLevel="1">
      <c r="A415" s="560"/>
      <c r="B415" s="133" t="str">
        <f>AAJ414</f>
        <v>STAFF.RPT.Permanent</v>
      </c>
      <c r="C415" s="730"/>
      <c r="D415" s="154"/>
      <c r="E415" s="155"/>
      <c r="F415" s="155"/>
      <c r="G415" s="154"/>
      <c r="H415" s="154"/>
      <c r="I415" s="590"/>
      <c r="J415" s="594"/>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620"/>
      <c r="ZZ415" s="36"/>
      <c r="AAA415" s="590"/>
      <c r="AAB415"/>
      <c r="AAC415"/>
      <c r="AAD415" s="113"/>
      <c r="AAE415" s="553">
        <v>1</v>
      </c>
      <c r="AAF415" s="585" t="s">
        <v>199</v>
      </c>
      <c r="AAG415" s="118"/>
      <c r="AAH415" s="118"/>
      <c r="AAI415" s="77"/>
      <c r="AAJ415" s="89" t="str">
        <f>S.CodeName&amp;"INVITATION.TO.COMMENT"</f>
        <v>INVITATION.TO.COMMENT</v>
      </c>
      <c r="AAK415" s="576"/>
      <c r="AAL415" s="57"/>
      <c r="AAM415" s="113"/>
      <c r="AAU415" s="44"/>
      <c r="AAV415"/>
      <c r="AAW415"/>
      <c r="AAX415"/>
      <c r="AAY415"/>
      <c r="AAZ415"/>
      <c r="ABA415"/>
      <c r="ABB415"/>
      <c r="ABC415"/>
      <c r="ABD415"/>
    </row>
    <row r="416" spans="1:732" ht="15" customHeight="1" outlineLevel="1">
      <c r="A416" s="560"/>
      <c r="B416" s="133" t="str">
        <f t="shared" ref="B416:B418" si="992">AAJ416</f>
        <v>PROPOSED RULES</v>
      </c>
      <c r="C416" s="730"/>
      <c r="D416" s="154"/>
      <c r="E416" s="155"/>
      <c r="F416" s="155"/>
      <c r="G416" s="154"/>
      <c r="H416" s="154"/>
      <c r="I416" s="590"/>
      <c r="J416" s="594"/>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20"/>
      <c r="ZZ416" s="36"/>
      <c r="AAA416" s="590"/>
      <c r="AAD416" s="113"/>
      <c r="AAE416" s="553">
        <v>1</v>
      </c>
      <c r="AAF416" s="585" t="s">
        <v>199</v>
      </c>
      <c r="AAG416" s="118"/>
      <c r="AAH416" s="118"/>
      <c r="AAI416" s="77"/>
      <c r="AAJ416" s="89" t="str">
        <f>S.CodeName&amp;"PROPOSED RULES"</f>
        <v>PROPOSED RULES</v>
      </c>
      <c r="AAK416" s="576"/>
      <c r="AAL416" s="57"/>
      <c r="AAM416" s="113"/>
      <c r="AAN416"/>
      <c r="AAT416" s="23"/>
      <c r="AAU416" s="44"/>
    </row>
    <row r="417" spans="1:723" ht="15" customHeight="1" outlineLevel="1">
      <c r="A417" s="560"/>
      <c r="B417" s="133" t="str">
        <f t="shared" si="992"/>
        <v>STATE IMPLEMENTATION PLAN</v>
      </c>
      <c r="C417" s="730"/>
      <c r="D417" s="175"/>
      <c r="E417" s="183"/>
      <c r="F417" s="183"/>
      <c r="G417" s="175"/>
      <c r="H417" s="175"/>
      <c r="I417" s="590"/>
      <c r="J417" s="594"/>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20"/>
      <c r="ZZ417" s="36"/>
      <c r="AAA417" s="590"/>
      <c r="AAD417" s="113"/>
      <c r="AAE417" s="553">
        <f>IF(S.InvolveSIP=TRUE,1,0)</f>
        <v>0</v>
      </c>
      <c r="AAF417" s="585" t="s">
        <v>199</v>
      </c>
      <c r="AAG417" s="118"/>
      <c r="AAH417" s="118"/>
      <c r="AAI417" s="77"/>
      <c r="AAJ417" s="89" t="s">
        <v>384</v>
      </c>
      <c r="AAK417" s="576"/>
      <c r="AAL417" s="57"/>
      <c r="AAM417" s="113"/>
      <c r="AAN417"/>
      <c r="AAT417" s="23"/>
      <c r="AAU417" s="44"/>
    </row>
    <row r="418" spans="1:723" ht="15" customHeight="1" outlineLevel="1">
      <c r="A418" s="560"/>
      <c r="B418" s="133" t="str">
        <f t="shared" si="992"/>
        <v>Optional SUPPORTING.DOCS</v>
      </c>
      <c r="C418" s="730"/>
      <c r="D418" s="175"/>
      <c r="E418" s="183"/>
      <c r="F418" s="183"/>
      <c r="G418" s="175"/>
      <c r="H418" s="175"/>
      <c r="I418" s="590"/>
      <c r="J418" s="594"/>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20"/>
      <c r="ZZ418" s="36"/>
      <c r="AAA418" s="590"/>
      <c r="AAD418" s="113"/>
      <c r="AAE418" s="553">
        <v>1</v>
      </c>
      <c r="AAF418" s="585" t="s">
        <v>199</v>
      </c>
      <c r="AAG418" s="118"/>
      <c r="AAH418" s="118"/>
      <c r="AAI418" s="77"/>
      <c r="AAJ418" s="89" t="str">
        <f>"Optional "&amp;S.CodeName&amp;"SUPPORTING.DOCS"</f>
        <v>Optional SUPPORTING.DOCS</v>
      </c>
      <c r="AAK418" s="576"/>
      <c r="AAL418" s="57"/>
      <c r="AAM418" s="113"/>
      <c r="AAN418"/>
      <c r="AAT418" s="23"/>
      <c r="AAU418" s="44"/>
    </row>
    <row r="419" spans="1:723" ht="15" customHeight="1" outlineLevel="1">
      <c r="A419" s="560"/>
      <c r="B419" s="466" t="s">
        <v>306</v>
      </c>
      <c r="C419" s="733"/>
      <c r="D419" s="175"/>
      <c r="E419" s="183"/>
      <c r="F419" s="183"/>
      <c r="G419" s="175"/>
      <c r="H419" s="175"/>
      <c r="I419" s="590"/>
      <c r="J419" s="594"/>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20"/>
      <c r="ZZ419" s="36"/>
      <c r="AAA419" s="590"/>
      <c r="AAD419" s="113"/>
      <c r="AAE419" s="553">
        <v>1</v>
      </c>
      <c r="AAF419" s="585" t="s">
        <v>199</v>
      </c>
      <c r="AAG419" s="118"/>
      <c r="AAH419" s="118"/>
      <c r="AAI419" s="77"/>
      <c r="AAJ419" s="57"/>
      <c r="AAK419" s="57"/>
      <c r="AAL419" s="57"/>
      <c r="AAM419" s="113"/>
      <c r="AAN419"/>
      <c r="AAT419" s="23"/>
      <c r="AAU419" s="44"/>
    </row>
    <row r="420" spans="1:723" ht="15" customHeight="1" outlineLevel="1">
      <c r="A420" s="560"/>
      <c r="B420" s="486" t="s">
        <v>117</v>
      </c>
      <c r="C420" s="240"/>
      <c r="D420" s="280" t="s">
        <v>173</v>
      </c>
      <c r="E420" s="380">
        <f>NETWORKDAYS(G420,H420,S.DDL_DEQClosed)</f>
        <v>41</v>
      </c>
      <c r="F420" s="493">
        <f t="shared" ref="F420:F423" ca="1" si="993">NETWORKDAYS(TODAY(),H420)</f>
        <v>105</v>
      </c>
      <c r="G420" s="438">
        <f t="shared" ref="G420:H423" si="994">AAG420</f>
        <v>41470</v>
      </c>
      <c r="H420" s="438">
        <f t="shared" si="994"/>
        <v>41527</v>
      </c>
      <c r="I420" s="629"/>
      <c r="J420" s="594"/>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50"/>
      <c r="ZZ420" s="50"/>
      <c r="AAA420" s="590"/>
      <c r="AAD420" s="113"/>
      <c r="AAE420" s="553">
        <v>1</v>
      </c>
      <c r="AAF420" s="113"/>
      <c r="AAG420" s="78">
        <f>G394</f>
        <v>41470</v>
      </c>
      <c r="AAH420" s="78">
        <f>S.SubmitStaffRpt</f>
        <v>41527</v>
      </c>
      <c r="AAI420" s="77"/>
      <c r="AAJ420" s="57"/>
      <c r="AAK420" s="57"/>
      <c r="AAL420" s="57"/>
      <c r="AAM420" s="113"/>
      <c r="AAN420"/>
      <c r="AAT420" s="23"/>
      <c r="AAU420" s="44"/>
    </row>
    <row r="421" spans="1:723" ht="15" customHeight="1" outlineLevel="1">
      <c r="A421" s="560"/>
      <c r="B421" s="487" t="s">
        <v>114</v>
      </c>
      <c r="C421" s="240"/>
      <c r="D421" s="280" t="s">
        <v>173</v>
      </c>
      <c r="E421" s="380">
        <f>NETWORKDAYS(G421,H421,S.DDL_DEQClosed)</f>
        <v>1</v>
      </c>
      <c r="F421" s="493">
        <f t="shared" ca="1" si="993"/>
        <v>105</v>
      </c>
      <c r="G421" s="438">
        <f t="shared" si="994"/>
        <v>41527</v>
      </c>
      <c r="H421" s="438">
        <f t="shared" si="994"/>
        <v>41527</v>
      </c>
      <c r="I421" s="629"/>
      <c r="J421" s="594"/>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90"/>
      <c r="AAD421" s="113"/>
      <c r="AAE421" s="553">
        <v>1</v>
      </c>
      <c r="AAF421" s="113"/>
      <c r="AAG421" s="78">
        <f>H420</f>
        <v>41527</v>
      </c>
      <c r="AAH421" s="78">
        <f>S.SubmitStaffRpt</f>
        <v>41527</v>
      </c>
      <c r="AAI421" s="77"/>
      <c r="AAJ421" s="57"/>
      <c r="AAK421" s="57"/>
      <c r="AAL421" s="57"/>
      <c r="AAM421" s="113"/>
      <c r="AAN421"/>
      <c r="AAT421" s="23"/>
      <c r="AAU421" s="44"/>
    </row>
    <row r="422" spans="1:723" ht="15" customHeight="1" outlineLevel="1">
      <c r="A422" s="560"/>
      <c r="B422" s="425" t="s">
        <v>115</v>
      </c>
      <c r="C422" s="240"/>
      <c r="D422" s="280" t="s">
        <v>173</v>
      </c>
      <c r="E422" s="380">
        <f>NETWORKDAYS(G422,H422,S.DDL_DEQClosed)</f>
        <v>1</v>
      </c>
      <c r="F422" s="493">
        <f t="shared" ca="1" si="993"/>
        <v>105</v>
      </c>
      <c r="G422" s="438">
        <f t="shared" si="994"/>
        <v>41527</v>
      </c>
      <c r="H422" s="438">
        <f t="shared" si="994"/>
        <v>41527</v>
      </c>
      <c r="I422" s="629"/>
      <c r="J422" s="594"/>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90"/>
      <c r="AAD422" s="113"/>
      <c r="AAE422" s="553">
        <v>1</v>
      </c>
      <c r="AAF422" s="113"/>
      <c r="AAG422" s="78">
        <f>H421</f>
        <v>41527</v>
      </c>
      <c r="AAH422" s="78">
        <f>S.SubmitStaffRpt</f>
        <v>41527</v>
      </c>
      <c r="AAI422" s="77"/>
      <c r="AAJ422" s="57"/>
      <c r="AAK422" s="57"/>
      <c r="AAL422" s="57"/>
      <c r="AAM422" s="113"/>
      <c r="AAN422"/>
      <c r="AAT422" s="23"/>
      <c r="AAU422" s="44"/>
    </row>
    <row r="423" spans="1:723" ht="15" customHeight="1" outlineLevel="1">
      <c r="A423" s="560"/>
      <c r="B423" s="426" t="s">
        <v>116</v>
      </c>
      <c r="C423" s="240"/>
      <c r="D423" s="280" t="s">
        <v>173</v>
      </c>
      <c r="E423" s="380">
        <f>NETWORKDAYS(G423,H423,S.DDL_DEQClosed)</f>
        <v>1</v>
      </c>
      <c r="F423" s="493">
        <f t="shared" ca="1" si="993"/>
        <v>105</v>
      </c>
      <c r="G423" s="438">
        <f t="shared" si="994"/>
        <v>41527</v>
      </c>
      <c r="H423" s="438">
        <f t="shared" si="994"/>
        <v>41527</v>
      </c>
      <c r="I423" s="629"/>
      <c r="J423" s="594"/>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90"/>
      <c r="AAD423" s="113"/>
      <c r="AAE423" s="553">
        <v>1</v>
      </c>
      <c r="AAF423" s="113"/>
      <c r="AAG423" s="78">
        <f>H422</f>
        <v>41527</v>
      </c>
      <c r="AAH423" s="78">
        <f>S.SubmitStaffRpt</f>
        <v>41527</v>
      </c>
      <c r="AAI423" s="77"/>
      <c r="AAJ423" s="57"/>
      <c r="AAK423" s="57"/>
      <c r="AAL423" s="57"/>
      <c r="AAM423" s="113"/>
      <c r="AAN423"/>
      <c r="AAT423" s="23"/>
      <c r="AAU423" s="44"/>
    </row>
    <row r="424" spans="1:723" ht="89.25" customHeight="1" outlineLevel="1">
      <c r="A424" s="560"/>
      <c r="B424" s="747" t="s">
        <v>385</v>
      </c>
      <c r="C424" s="747"/>
      <c r="D424" s="747"/>
      <c r="E424" s="747"/>
      <c r="F424" s="747"/>
      <c r="G424" s="747"/>
      <c r="H424" s="747"/>
      <c r="I424" s="590"/>
      <c r="J424" s="594"/>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620"/>
      <c r="ZZ424" s="36"/>
      <c r="AAA424" s="590"/>
      <c r="AAD424" s="113"/>
      <c r="AAE424" s="553">
        <v>1</v>
      </c>
      <c r="AAF424" s="585" t="s">
        <v>199</v>
      </c>
      <c r="AAG424" s="113"/>
      <c r="AAH424" s="113"/>
      <c r="AAI424" s="77"/>
      <c r="AAJ424" s="57"/>
      <c r="AAK424" s="57"/>
      <c r="AAL424" s="57"/>
      <c r="AAM424" s="113"/>
      <c r="AAN424"/>
      <c r="AAT424" s="23"/>
      <c r="AAU424" s="44"/>
    </row>
    <row r="425" spans="1:723" ht="15" customHeight="1" outlineLevel="1">
      <c r="A425" s="560"/>
      <c r="B425" s="481" t="s">
        <v>52</v>
      </c>
      <c r="C425" s="397"/>
      <c r="D425" s="282" t="s">
        <v>0</v>
      </c>
      <c r="E425" s="283"/>
      <c r="F425" s="283"/>
      <c r="G425" s="284"/>
      <c r="H425" s="284"/>
      <c r="I425" s="590"/>
      <c r="J425" s="594"/>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20"/>
      <c r="ZZ425" s="36"/>
      <c r="AAA425" s="590"/>
      <c r="AAD425" s="113"/>
      <c r="AAE425" s="553">
        <v>1</v>
      </c>
      <c r="AAF425" s="585" t="s">
        <v>199</v>
      </c>
      <c r="AAG425" s="113"/>
      <c r="AAH425" s="113"/>
      <c r="AAI425" s="77"/>
      <c r="AAJ425" s="57"/>
      <c r="AAK425" s="57"/>
      <c r="AAL425" s="57"/>
      <c r="AAM425" s="113"/>
      <c r="AAN425"/>
      <c r="AAT425" s="23"/>
      <c r="AAU425" s="44"/>
    </row>
    <row r="426" spans="1:723" ht="15" customHeight="1" outlineLevel="1">
      <c r="A426" s="560"/>
      <c r="B426" s="344" t="s">
        <v>304</v>
      </c>
      <c r="C426" s="730"/>
      <c r="D426" s="278" t="s">
        <v>16</v>
      </c>
      <c r="E426" s="369">
        <f>NETWORKDAYS(G426,H426,S.DDL_DEQClosed)</f>
        <v>1</v>
      </c>
      <c r="F426" s="493">
        <f t="shared" ref="F426" ca="1" si="995">NETWORKDAYS(TODAY(),H426)</f>
        <v>105</v>
      </c>
      <c r="G426" s="473">
        <f t="shared" ref="G426:H432" si="996">AAG426</f>
        <v>41527</v>
      </c>
      <c r="H426" s="371">
        <f>AAH426</f>
        <v>41527</v>
      </c>
      <c r="I426" s="629"/>
      <c r="J426" s="594"/>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50"/>
      <c r="ZZ426" s="50"/>
      <c r="AAA426" s="590"/>
      <c r="AAD426" s="113"/>
      <c r="AAE426" s="553">
        <v>1</v>
      </c>
      <c r="AAF426" s="113" t="s">
        <v>0</v>
      </c>
      <c r="AAG426" s="78">
        <f>H423</f>
        <v>41527</v>
      </c>
      <c r="AAH426" s="78">
        <f>S.SubmitStaffRpt</f>
        <v>41527</v>
      </c>
      <c r="AAI426" s="77"/>
      <c r="AAJ426" s="57"/>
      <c r="AAK426" s="57"/>
      <c r="AAL426" s="57"/>
      <c r="AAM426" s="113"/>
      <c r="AAN426"/>
      <c r="AAT426" s="23"/>
      <c r="AAU426" s="44"/>
    </row>
    <row r="427" spans="1:723" ht="18" customHeight="1" outlineLevel="1">
      <c r="A427" s="560"/>
      <c r="B427" s="307" t="s">
        <v>285</v>
      </c>
      <c r="C427" s="730"/>
      <c r="D427" s="278" t="s">
        <v>161</v>
      </c>
      <c r="E427" s="449">
        <f>NETWORKDAYS(G427,H427,S.DDL_DEQClosed)</f>
        <v>1</v>
      </c>
      <c r="F427" s="493">
        <f ca="1">NETWORKDAYS(TODAY(),H427)</f>
        <v>105</v>
      </c>
      <c r="G427" s="456">
        <f t="shared" ref="G427:H427" si="997">AAG427</f>
        <v>41527</v>
      </c>
      <c r="H427" s="474">
        <f t="shared" si="997"/>
        <v>41527</v>
      </c>
      <c r="I427" s="629"/>
      <c r="J427" s="594"/>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90"/>
      <c r="AAD427" s="113"/>
      <c r="AAE427" s="553">
        <v>1</v>
      </c>
      <c r="AAF427" s="113"/>
      <c r="AAG427" s="78">
        <f>H427</f>
        <v>41527</v>
      </c>
      <c r="AAH427" s="78">
        <f>S.SubmitStaffRpt</f>
        <v>41527</v>
      </c>
      <c r="AAI427" s="77"/>
      <c r="AAJ427" s="57"/>
      <c r="AAK427" s="57"/>
      <c r="AAL427" s="57"/>
      <c r="AAM427" s="113"/>
      <c r="AAN427"/>
      <c r="AAT427" s="23"/>
      <c r="AAU427" s="44"/>
    </row>
    <row r="428" spans="1:723" ht="15" customHeight="1" outlineLevel="1">
      <c r="A428" s="560"/>
      <c r="B428" s="668" t="s">
        <v>124</v>
      </c>
      <c r="C428" s="730"/>
      <c r="D428" s="278" t="s">
        <v>125</v>
      </c>
      <c r="E428" s="449">
        <f>NETWORKDAYS(G428,H428,S.DDL_DEQClosed)</f>
        <v>5</v>
      </c>
      <c r="F428" s="493">
        <f ca="1">NETWORKDAYS(TODAY(),H428)</f>
        <v>109</v>
      </c>
      <c r="G428" s="473">
        <f t="shared" si="996"/>
        <v>41527</v>
      </c>
      <c r="H428" s="473">
        <f t="shared" si="996"/>
        <v>41533</v>
      </c>
      <c r="I428" s="629"/>
      <c r="J428" s="594"/>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90"/>
      <c r="AAD428" s="113"/>
      <c r="AAE428" s="553">
        <v>1</v>
      </c>
      <c r="AAF428" s="113"/>
      <c r="AAG428" s="78">
        <f>H427</f>
        <v>41527</v>
      </c>
      <c r="AAH428" s="78">
        <f>WORKDAY(S.SubmitStaffRpt+4,1, S.DDL_DEQClosed)</f>
        <v>41533</v>
      </c>
      <c r="AAI428" s="77"/>
      <c r="AAJ428" s="57"/>
      <c r="AAK428" s="57"/>
      <c r="AAL428" s="57"/>
      <c r="AAM428" s="113"/>
      <c r="AAN428"/>
      <c r="AAT428" s="23"/>
      <c r="AAU428" s="44"/>
    </row>
    <row r="429" spans="1:723" ht="15" customHeight="1" outlineLevel="1">
      <c r="A429" s="560"/>
      <c r="B429" s="134" t="s">
        <v>32</v>
      </c>
      <c r="C429" s="730"/>
      <c r="D429" s="278" t="s">
        <v>168</v>
      </c>
      <c r="E429" s="449">
        <f>NETWORKDAYS(G429,H429,S.DDL_DEQClosed)</f>
        <v>66</v>
      </c>
      <c r="F429" s="493">
        <f ca="1">NETWORKDAYS(TODAY(),H429)</f>
        <v>130</v>
      </c>
      <c r="G429" s="473">
        <f t="shared" si="996"/>
        <v>41470</v>
      </c>
      <c r="H429" s="473">
        <f t="shared" si="996"/>
        <v>41562</v>
      </c>
      <c r="I429" s="629"/>
      <c r="J429" s="594"/>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90"/>
      <c r="AAD429" s="113"/>
      <c r="AAE429" s="553">
        <v>1</v>
      </c>
      <c r="AAF429" s="113"/>
      <c r="AAG429" s="78">
        <f>S.BANNER.EQCStart</f>
        <v>41470</v>
      </c>
      <c r="AAH429" s="78">
        <f>S.EQCMeeting-1</f>
        <v>41562</v>
      </c>
      <c r="AAI429" s="77"/>
      <c r="AAJ429" s="57"/>
      <c r="AAK429" s="57"/>
      <c r="AAL429" s="57"/>
      <c r="AAM429" s="113"/>
      <c r="AAN429"/>
      <c r="AAT429" s="23"/>
      <c r="AAU429" s="44"/>
    </row>
    <row r="430" spans="1:723" ht="15" customHeight="1" outlineLevel="1">
      <c r="A430" s="560"/>
      <c r="B430" s="440" t="s">
        <v>210</v>
      </c>
      <c r="C430" s="308"/>
      <c r="D430" s="196" t="s">
        <v>0</v>
      </c>
      <c r="E430" s="124" t="s">
        <v>0</v>
      </c>
      <c r="F430" s="125" t="s">
        <v>0</v>
      </c>
      <c r="G430" s="197"/>
      <c r="H430" s="197"/>
      <c r="I430" s="629"/>
      <c r="J430" s="594"/>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90"/>
      <c r="AAD430" s="113"/>
      <c r="AAE430" s="553">
        <v>1</v>
      </c>
      <c r="AAF430" s="585" t="s">
        <v>199</v>
      </c>
      <c r="AAG430" s="118"/>
      <c r="AAH430" s="118"/>
      <c r="AAI430" s="77"/>
      <c r="AAJ430" s="57"/>
      <c r="AAK430" s="57"/>
      <c r="AAL430" s="57"/>
      <c r="AAM430" s="113"/>
      <c r="AAN430"/>
      <c r="AAT430" s="23"/>
      <c r="AAU430" s="44"/>
    </row>
    <row r="431" spans="1:723" ht="15" customHeight="1" outlineLevel="1">
      <c r="A431" s="560"/>
      <c r="B431" s="477" t="s">
        <v>131</v>
      </c>
      <c r="C431" s="734"/>
      <c r="D431" s="279" t="s">
        <v>167</v>
      </c>
      <c r="E431" s="369">
        <f>NETWORKDAYS(G431,H431,S.DDL_DEQClosed)</f>
        <v>1</v>
      </c>
      <c r="F431" s="493">
        <f ca="1">NETWORKDAYS(TODAY(),H431)</f>
        <v>130</v>
      </c>
      <c r="G431" s="473">
        <f t="shared" si="996"/>
        <v>41562</v>
      </c>
      <c r="H431" s="473">
        <f t="shared" si="996"/>
        <v>41562</v>
      </c>
      <c r="I431" s="629"/>
      <c r="J431" s="594"/>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90"/>
      <c r="AAD431" s="113"/>
      <c r="AAE431" s="553">
        <v>1</v>
      </c>
      <c r="AAF431" s="113"/>
      <c r="AAG431" s="78">
        <f>H429</f>
        <v>41562</v>
      </c>
      <c r="AAH431" s="78">
        <f>G431</f>
        <v>41562</v>
      </c>
      <c r="AAI431" s="77"/>
      <c r="AAJ431" s="57"/>
      <c r="AAK431" s="57"/>
      <c r="AAL431" s="57" t="s">
        <v>0</v>
      </c>
      <c r="AAM431" s="113"/>
      <c r="AAN431"/>
      <c r="AAT431" s="23"/>
      <c r="AAU431" s="44"/>
    </row>
    <row r="432" spans="1:723" ht="15" customHeight="1" outlineLevel="1">
      <c r="A432" s="560"/>
      <c r="B432" s="478" t="s">
        <v>31</v>
      </c>
      <c r="C432" s="734"/>
      <c r="D432" s="309" t="s">
        <v>161</v>
      </c>
      <c r="E432" s="369">
        <f>NETWORKDAYS(G432,H432,S.DDL_DEQClosed)</f>
        <v>1</v>
      </c>
      <c r="F432" s="493">
        <f ca="1">NETWORKDAYS(TODAY(),H432)</f>
        <v>130</v>
      </c>
      <c r="G432" s="473">
        <f t="shared" si="996"/>
        <v>41562</v>
      </c>
      <c r="H432" s="473">
        <f t="shared" si="996"/>
        <v>41562</v>
      </c>
      <c r="I432" s="629"/>
      <c r="J432" s="593"/>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G432" s="47"/>
      <c r="CH432" s="47"/>
      <c r="CI432" s="47"/>
      <c r="CJ432" s="47"/>
      <c r="CK432" s="47"/>
      <c r="CL432" s="47"/>
      <c r="CM432" s="47"/>
      <c r="CN432" s="47"/>
      <c r="CO432" s="47"/>
      <c r="CP432" s="47"/>
      <c r="CQ432" s="47"/>
      <c r="CR432" s="47"/>
      <c r="CS432" s="47"/>
      <c r="CT432" s="47"/>
      <c r="CU432" s="47"/>
      <c r="CV432" s="47"/>
      <c r="CW432" s="47"/>
      <c r="CX432" s="47"/>
      <c r="CY432" s="47"/>
      <c r="CZ432" s="47"/>
      <c r="DA432" s="47"/>
      <c r="DB432" s="47"/>
      <c r="DC432" s="47"/>
      <c r="DD432" s="47"/>
      <c r="DE432" s="47"/>
      <c r="DF432" s="47"/>
      <c r="DG432" s="47"/>
      <c r="DH432" s="47"/>
      <c r="DI432" s="47"/>
      <c r="DJ432" s="47"/>
      <c r="DK432" s="47"/>
      <c r="DL432" s="47"/>
      <c r="DM432" s="47"/>
      <c r="DN432" s="47"/>
      <c r="DO432" s="47"/>
      <c r="DP432" s="47"/>
      <c r="DQ432" s="47"/>
      <c r="DR432" s="47"/>
      <c r="DS432" s="47"/>
      <c r="DT432" s="47"/>
      <c r="DU432" s="47"/>
      <c r="DV432" s="47"/>
      <c r="DW432" s="47"/>
      <c r="DX432" s="47"/>
      <c r="DY432" s="47"/>
      <c r="DZ432" s="47"/>
      <c r="EA432" s="47"/>
      <c r="EB432" s="47"/>
      <c r="EC432" s="47"/>
      <c r="ED432" s="47"/>
      <c r="EE432" s="47"/>
      <c r="EF432" s="47"/>
      <c r="EG432" s="47"/>
      <c r="EH432" s="47"/>
      <c r="EI432" s="47"/>
      <c r="EJ432" s="47"/>
      <c r="EK432" s="47"/>
      <c r="EL432" s="47"/>
      <c r="EM432" s="47"/>
      <c r="EN432" s="47"/>
      <c r="EO432" s="47"/>
      <c r="EP432" s="47"/>
      <c r="EQ432" s="47"/>
      <c r="ER432" s="47"/>
      <c r="ES432" s="47"/>
      <c r="ET432" s="47"/>
      <c r="EU432" s="47"/>
      <c r="EV432" s="47"/>
      <c r="EW432" s="47"/>
      <c r="EX432" s="47"/>
      <c r="EY432" s="47"/>
      <c r="EZ432" s="47"/>
      <c r="FA432" s="47"/>
      <c r="FB432" s="47"/>
      <c r="FC432" s="47"/>
      <c r="FD432" s="47"/>
      <c r="FE432" s="47"/>
      <c r="FF432" s="47"/>
      <c r="FG432" s="47"/>
      <c r="FH432" s="47"/>
      <c r="FI432" s="47"/>
      <c r="FJ432" s="47"/>
      <c r="FK432" s="47"/>
      <c r="FL432" s="47"/>
      <c r="FM432" s="47"/>
      <c r="FN432" s="47"/>
      <c r="FO432" s="47"/>
      <c r="FP432" s="47"/>
      <c r="FQ432" s="47"/>
      <c r="FR432" s="47"/>
      <c r="FS432" s="47"/>
      <c r="FT432" s="47"/>
      <c r="FU432" s="47"/>
      <c r="FV432" s="47"/>
      <c r="FW432" s="47"/>
      <c r="FX432" s="47"/>
      <c r="FY432" s="47"/>
      <c r="FZ432" s="47"/>
      <c r="GA432" s="47"/>
      <c r="GB432" s="47"/>
      <c r="GC432" s="47"/>
      <c r="GD432" s="47"/>
      <c r="GE432" s="47"/>
      <c r="GF432" s="47"/>
      <c r="GG432" s="47"/>
      <c r="GH432" s="47"/>
      <c r="GI432" s="47"/>
      <c r="GJ432" s="47"/>
      <c r="GK432" s="47"/>
      <c r="GL432" s="47"/>
      <c r="GM432" s="47"/>
      <c r="GN432" s="47"/>
      <c r="GO432" s="47"/>
      <c r="GP432" s="47"/>
      <c r="GQ432" s="47"/>
      <c r="GR432" s="47"/>
      <c r="GS432" s="47"/>
      <c r="GT432" s="47"/>
      <c r="GU432" s="47"/>
      <c r="GV432" s="47"/>
      <c r="GW432" s="47"/>
      <c r="GX432" s="47"/>
      <c r="GY432" s="47"/>
      <c r="GZ432" s="47"/>
      <c r="HA432" s="47"/>
      <c r="HB432" s="47"/>
      <c r="HC432" s="47"/>
      <c r="HD432" s="47"/>
      <c r="HE432" s="47"/>
      <c r="HF432" s="47"/>
      <c r="HG432" s="47"/>
      <c r="HH432" s="47"/>
      <c r="HI432" s="47"/>
      <c r="HJ432" s="47"/>
      <c r="HK432" s="47"/>
      <c r="HL432" s="47"/>
      <c r="HM432" s="47"/>
      <c r="HN432" s="47"/>
      <c r="HO432" s="47"/>
      <c r="HP432" s="47"/>
      <c r="HQ432" s="47"/>
      <c r="HR432" s="47"/>
      <c r="HS432" s="47"/>
      <c r="HT432" s="47"/>
      <c r="HU432" s="47"/>
      <c r="HV432" s="47"/>
      <c r="HW432" s="47"/>
      <c r="HX432" s="47"/>
      <c r="HY432" s="47"/>
      <c r="HZ432" s="47"/>
      <c r="IA432" s="47"/>
      <c r="IB432" s="47"/>
      <c r="IC432" s="47"/>
      <c r="ID432" s="47"/>
      <c r="IE432" s="47"/>
      <c r="IF432" s="47"/>
      <c r="IG432" s="47"/>
      <c r="IH432" s="47"/>
      <c r="II432" s="47"/>
      <c r="IJ432" s="47"/>
      <c r="IK432" s="47"/>
      <c r="IL432" s="47"/>
      <c r="IM432" s="47"/>
      <c r="IN432" s="47"/>
      <c r="IO432" s="47"/>
      <c r="IP432" s="47"/>
      <c r="IQ432" s="47"/>
      <c r="IR432" s="47"/>
      <c r="IS432" s="47"/>
      <c r="IT432" s="47"/>
      <c r="IU432" s="47"/>
      <c r="IV432" s="47"/>
      <c r="IW432" s="47"/>
      <c r="IX432" s="47"/>
      <c r="IY432" s="47"/>
      <c r="IZ432" s="47"/>
      <c r="JA432" s="47"/>
      <c r="JB432" s="47"/>
      <c r="JC432" s="47"/>
      <c r="JD432" s="47"/>
      <c r="JE432" s="47"/>
      <c r="JF432" s="47"/>
      <c r="JG432" s="47"/>
      <c r="JH432" s="47"/>
      <c r="JI432" s="47"/>
      <c r="JJ432" s="47"/>
      <c r="JK432" s="47"/>
      <c r="JL432" s="47"/>
      <c r="JM432" s="47"/>
      <c r="JN432" s="47"/>
      <c r="JO432" s="47"/>
      <c r="JP432" s="47"/>
      <c r="JQ432" s="47"/>
      <c r="JR432" s="47"/>
      <c r="JS432" s="47"/>
      <c r="JT432" s="47"/>
      <c r="JU432" s="47"/>
      <c r="JV432" s="47"/>
      <c r="JW432" s="47"/>
      <c r="JX432" s="47"/>
      <c r="JY432" s="47"/>
      <c r="JZ432" s="47"/>
      <c r="KA432" s="47"/>
      <c r="KB432" s="47"/>
      <c r="KC432" s="47"/>
      <c r="KD432" s="47"/>
      <c r="KE432" s="47"/>
      <c r="KF432" s="47"/>
      <c r="KG432" s="47"/>
      <c r="KH432" s="47"/>
      <c r="KI432" s="47"/>
      <c r="KJ432" s="47"/>
      <c r="KK432" s="47"/>
      <c r="KL432" s="47"/>
      <c r="KM432" s="47"/>
      <c r="KN432" s="47"/>
      <c r="KO432" s="47"/>
      <c r="KP432" s="47"/>
      <c r="KQ432" s="47"/>
      <c r="KR432" s="47"/>
      <c r="KS432" s="47"/>
      <c r="KT432" s="47"/>
      <c r="KU432" s="47"/>
      <c r="KV432" s="47"/>
      <c r="KW432" s="47"/>
      <c r="KX432" s="47"/>
      <c r="KY432" s="47"/>
      <c r="KZ432" s="47"/>
      <c r="LA432" s="47"/>
      <c r="LB432" s="47"/>
      <c r="LC432" s="47"/>
      <c r="LD432" s="47"/>
      <c r="LE432" s="47"/>
      <c r="LF432" s="47"/>
      <c r="LG432" s="47"/>
      <c r="LH432" s="47"/>
      <c r="LI432" s="47"/>
      <c r="LJ432" s="47"/>
      <c r="LK432" s="47"/>
      <c r="LL432" s="47"/>
      <c r="LM432" s="47"/>
      <c r="LN432" s="47"/>
      <c r="LO432" s="47"/>
      <c r="LP432" s="47"/>
      <c r="LQ432" s="47"/>
      <c r="LR432" s="47"/>
      <c r="LS432" s="47"/>
      <c r="LT432" s="47"/>
      <c r="LU432" s="47"/>
      <c r="LV432" s="47"/>
      <c r="LW432" s="47"/>
      <c r="LX432" s="47"/>
      <c r="LY432" s="47"/>
      <c r="LZ432" s="47"/>
      <c r="MA432" s="47"/>
      <c r="MB432" s="47"/>
      <c r="MC432" s="47"/>
      <c r="MD432" s="47"/>
      <c r="ME432" s="47"/>
      <c r="MF432" s="47"/>
      <c r="MG432" s="47"/>
      <c r="MH432" s="47"/>
      <c r="MI432" s="47"/>
      <c r="MJ432" s="47"/>
      <c r="MK432" s="47"/>
      <c r="ML432" s="47"/>
      <c r="MM432" s="47"/>
      <c r="MN432" s="47"/>
      <c r="MO432" s="47"/>
      <c r="MP432" s="47"/>
      <c r="MQ432" s="47"/>
      <c r="MR432" s="47"/>
      <c r="MS432" s="47"/>
      <c r="MT432" s="47"/>
      <c r="MU432" s="47"/>
      <c r="MV432" s="47"/>
      <c r="MW432" s="47"/>
      <c r="MX432" s="47"/>
      <c r="MY432" s="47"/>
      <c r="MZ432" s="47"/>
      <c r="NA432" s="47"/>
      <c r="NB432" s="47"/>
      <c r="NC432" s="47"/>
      <c r="ND432" s="47"/>
      <c r="NE432" s="47"/>
      <c r="NF432" s="47"/>
      <c r="NG432" s="47"/>
      <c r="NH432" s="47"/>
      <c r="NI432" s="47"/>
      <c r="NJ432" s="47"/>
      <c r="NK432" s="47"/>
      <c r="NL432" s="47"/>
      <c r="NM432" s="47"/>
      <c r="NN432" s="47"/>
      <c r="NO432" s="47"/>
      <c r="NP432" s="47"/>
      <c r="NQ432" s="47"/>
      <c r="NR432" s="47"/>
      <c r="NS432" s="47"/>
      <c r="NT432" s="47"/>
      <c r="NU432" s="47"/>
      <c r="NV432" s="47"/>
      <c r="NW432" s="47"/>
      <c r="NX432" s="47"/>
      <c r="NY432" s="47"/>
      <c r="NZ432" s="47"/>
      <c r="OA432" s="47"/>
      <c r="OB432" s="47"/>
      <c r="OC432" s="47"/>
      <c r="OD432" s="47"/>
      <c r="OE432" s="47"/>
      <c r="OF432" s="47"/>
      <c r="OG432" s="47"/>
      <c r="OH432" s="47"/>
      <c r="OI432" s="47"/>
      <c r="OJ432" s="47"/>
      <c r="OK432" s="47"/>
      <c r="OL432" s="47"/>
      <c r="OM432" s="47"/>
      <c r="ON432" s="47"/>
      <c r="OO432" s="47"/>
      <c r="OP432" s="47"/>
      <c r="OQ432" s="47"/>
      <c r="OR432" s="47"/>
      <c r="OS432" s="47"/>
      <c r="OT432" s="47"/>
      <c r="OU432" s="47"/>
      <c r="OV432" s="47"/>
      <c r="OW432" s="47"/>
      <c r="OX432" s="47"/>
      <c r="OY432" s="47"/>
      <c r="OZ432" s="47"/>
      <c r="PA432" s="47"/>
      <c r="PB432" s="47"/>
      <c r="PC432" s="47"/>
      <c r="PD432" s="47"/>
      <c r="PE432" s="47"/>
      <c r="PF432" s="47"/>
      <c r="PG432" s="47"/>
      <c r="PH432" s="47"/>
      <c r="PI432" s="47"/>
      <c r="PJ432" s="47"/>
      <c r="PK432" s="47"/>
      <c r="PL432" s="47"/>
      <c r="PM432" s="47"/>
      <c r="PN432" s="47"/>
      <c r="PO432" s="47"/>
      <c r="PP432" s="47"/>
      <c r="PQ432" s="47"/>
      <c r="PR432" s="47"/>
      <c r="PS432" s="47"/>
      <c r="PT432" s="47"/>
      <c r="PU432" s="47"/>
      <c r="PV432" s="47"/>
      <c r="PW432" s="47"/>
      <c r="PX432" s="47"/>
      <c r="PY432" s="47"/>
      <c r="PZ432" s="47"/>
      <c r="QA432" s="47"/>
      <c r="QB432" s="47"/>
      <c r="QC432" s="47"/>
      <c r="QD432" s="47"/>
      <c r="QE432" s="47"/>
      <c r="QF432" s="47"/>
      <c r="QG432" s="47"/>
      <c r="QH432" s="47"/>
      <c r="QI432" s="47"/>
      <c r="QJ432" s="47"/>
      <c r="QK432" s="47"/>
      <c r="QL432" s="47"/>
      <c r="QM432" s="47"/>
      <c r="QN432" s="47"/>
      <c r="QO432" s="47"/>
      <c r="QP432" s="47"/>
      <c r="QQ432" s="47"/>
      <c r="QR432" s="47"/>
      <c r="QS432" s="47"/>
      <c r="QT432" s="47"/>
      <c r="QU432" s="47"/>
      <c r="QV432" s="47"/>
      <c r="QW432" s="47"/>
      <c r="QX432" s="47"/>
      <c r="QY432" s="47"/>
      <c r="QZ432" s="47"/>
      <c r="RA432" s="47"/>
      <c r="RB432" s="47"/>
      <c r="RC432" s="47"/>
      <c r="RD432" s="47"/>
      <c r="RE432" s="47"/>
      <c r="RF432" s="47"/>
      <c r="RG432" s="47"/>
      <c r="RH432" s="47"/>
      <c r="RI432" s="47"/>
      <c r="RJ432" s="47"/>
      <c r="RK432" s="47"/>
      <c r="RL432" s="47"/>
      <c r="RM432" s="47"/>
      <c r="RN432" s="47"/>
      <c r="RO432" s="47"/>
      <c r="RP432" s="47"/>
      <c r="RQ432" s="47"/>
      <c r="RR432" s="47"/>
      <c r="RS432" s="47"/>
      <c r="RT432" s="47"/>
      <c r="RU432" s="47"/>
      <c r="RV432" s="47"/>
      <c r="RW432" s="47"/>
      <c r="RX432" s="47"/>
      <c r="RY432" s="47"/>
      <c r="RZ432" s="47"/>
      <c r="SA432" s="47"/>
      <c r="SB432" s="47"/>
      <c r="SC432" s="47"/>
      <c r="SD432" s="47"/>
      <c r="SE432" s="47"/>
      <c r="SF432" s="47"/>
      <c r="SG432" s="47"/>
      <c r="SH432" s="47"/>
      <c r="SI432" s="47"/>
      <c r="SJ432" s="47"/>
      <c r="SK432" s="47"/>
      <c r="SL432" s="47"/>
      <c r="SM432" s="47"/>
      <c r="SN432" s="47"/>
      <c r="SO432" s="47"/>
      <c r="SP432" s="47"/>
      <c r="SQ432" s="47"/>
      <c r="SR432" s="47"/>
      <c r="SS432" s="47"/>
      <c r="ST432" s="47"/>
      <c r="SU432" s="47"/>
      <c r="SV432" s="47"/>
      <c r="SW432" s="47"/>
      <c r="SX432" s="47"/>
      <c r="SY432" s="47"/>
      <c r="SZ432" s="47"/>
      <c r="TA432" s="47"/>
      <c r="TB432" s="47"/>
      <c r="TC432" s="47"/>
      <c r="TD432" s="47"/>
      <c r="TE432" s="47"/>
      <c r="TF432" s="47"/>
      <c r="TG432" s="47"/>
      <c r="TH432" s="47"/>
      <c r="TI432" s="47"/>
      <c r="TJ432" s="47"/>
      <c r="TK432" s="47"/>
      <c r="TL432" s="47"/>
      <c r="TM432" s="47"/>
      <c r="TN432" s="47"/>
      <c r="TO432" s="47"/>
      <c r="TP432" s="47"/>
      <c r="TQ432" s="47"/>
      <c r="TR432" s="47"/>
      <c r="TS432" s="47"/>
      <c r="TT432" s="47"/>
      <c r="TU432" s="47"/>
      <c r="TV432" s="47"/>
      <c r="TW432" s="47"/>
      <c r="TX432" s="47"/>
      <c r="TY432" s="47"/>
      <c r="TZ432" s="47"/>
      <c r="UA432" s="47"/>
      <c r="UB432" s="47"/>
      <c r="UC432" s="47"/>
      <c r="UD432" s="47"/>
      <c r="UE432" s="47"/>
      <c r="UF432" s="47"/>
      <c r="UG432" s="47"/>
      <c r="UH432" s="47"/>
      <c r="UI432" s="47"/>
      <c r="UJ432" s="47"/>
      <c r="UK432" s="47"/>
      <c r="UL432" s="47"/>
      <c r="UM432" s="47"/>
      <c r="UN432" s="47"/>
      <c r="UO432" s="47"/>
      <c r="UP432" s="47"/>
      <c r="UQ432" s="47"/>
      <c r="UR432" s="47"/>
      <c r="US432" s="47"/>
      <c r="UT432" s="47"/>
      <c r="UU432" s="47"/>
      <c r="UV432" s="47"/>
      <c r="UW432" s="47"/>
      <c r="UX432" s="47"/>
      <c r="UY432" s="47"/>
      <c r="UZ432" s="47"/>
      <c r="VA432" s="47"/>
      <c r="VB432" s="47"/>
      <c r="VC432" s="47"/>
      <c r="VD432" s="47"/>
      <c r="VE432" s="47"/>
      <c r="VF432" s="47"/>
      <c r="VG432" s="47"/>
      <c r="VH432" s="47"/>
      <c r="VI432" s="47"/>
      <c r="VJ432" s="47"/>
      <c r="VK432" s="47"/>
      <c r="VL432" s="47"/>
      <c r="VM432" s="47"/>
      <c r="VN432" s="47"/>
      <c r="VO432" s="47"/>
      <c r="VP432" s="47"/>
      <c r="VQ432" s="47"/>
      <c r="VR432" s="47"/>
      <c r="VS432" s="47"/>
      <c r="VT432" s="47"/>
      <c r="VU432" s="47"/>
      <c r="VV432" s="47"/>
      <c r="VW432" s="47"/>
      <c r="VX432" s="47"/>
      <c r="VY432" s="47"/>
      <c r="VZ432" s="47"/>
      <c r="WA432" s="47"/>
      <c r="WB432" s="47"/>
      <c r="WC432" s="47"/>
      <c r="WD432" s="47"/>
      <c r="WE432" s="47"/>
      <c r="WF432" s="47"/>
      <c r="WG432" s="47"/>
      <c r="WH432" s="47"/>
      <c r="WI432" s="47"/>
      <c r="WJ432" s="47"/>
      <c r="WK432" s="47"/>
      <c r="WL432" s="47"/>
      <c r="WM432" s="47"/>
      <c r="WN432" s="47"/>
      <c r="WO432" s="47"/>
      <c r="WP432" s="47"/>
      <c r="WQ432" s="47"/>
      <c r="WR432" s="47"/>
      <c r="WS432" s="47"/>
      <c r="WT432" s="47"/>
      <c r="WU432" s="47"/>
      <c r="WV432" s="47"/>
      <c r="WW432" s="47"/>
      <c r="WX432" s="47"/>
      <c r="WY432" s="47"/>
      <c r="WZ432" s="47"/>
      <c r="XA432" s="47"/>
      <c r="XB432" s="47"/>
      <c r="XC432" s="47"/>
      <c r="XD432" s="47"/>
      <c r="XE432" s="47"/>
      <c r="XF432" s="47"/>
      <c r="XG432" s="47"/>
      <c r="XH432" s="47"/>
      <c r="XI432" s="47"/>
      <c r="XJ432" s="47"/>
      <c r="XK432" s="47"/>
      <c r="XL432" s="47"/>
      <c r="XM432" s="47"/>
      <c r="XN432" s="47"/>
      <c r="XO432" s="47"/>
      <c r="XP432" s="47"/>
      <c r="XQ432" s="47"/>
      <c r="XR432" s="47"/>
      <c r="XS432" s="47"/>
      <c r="XT432" s="47"/>
      <c r="XU432" s="47"/>
      <c r="XV432" s="47"/>
      <c r="XW432" s="47"/>
      <c r="XX432" s="47"/>
      <c r="XY432" s="47"/>
      <c r="XZ432" s="47"/>
      <c r="YA432" s="47"/>
      <c r="YB432" s="47"/>
      <c r="YC432" s="47"/>
      <c r="YD432" s="47"/>
      <c r="YE432" s="47"/>
      <c r="YF432" s="47"/>
      <c r="YG432" s="47"/>
      <c r="YH432" s="47"/>
      <c r="YI432" s="47"/>
      <c r="YJ432" s="47"/>
      <c r="YK432" s="47"/>
      <c r="YL432" s="47"/>
      <c r="YM432" s="47"/>
      <c r="YN432" s="47"/>
      <c r="YO432" s="47"/>
      <c r="YP432" s="47"/>
      <c r="YQ432" s="47"/>
      <c r="YR432" s="47"/>
      <c r="YS432" s="47"/>
      <c r="YT432" s="47"/>
      <c r="YU432" s="47"/>
      <c r="YV432" s="47"/>
      <c r="YW432" s="47"/>
      <c r="YX432" s="47"/>
      <c r="YY432" s="47"/>
      <c r="YZ432" s="47"/>
      <c r="ZA432" s="47"/>
      <c r="ZB432" s="47"/>
      <c r="ZC432" s="47"/>
      <c r="ZD432" s="47"/>
      <c r="ZE432" s="47"/>
      <c r="ZF432" s="47"/>
      <c r="ZG432" s="47"/>
      <c r="ZH432" s="47"/>
      <c r="ZI432" s="47"/>
      <c r="ZJ432" s="47"/>
      <c r="ZK432" s="47"/>
      <c r="ZL432" s="47"/>
      <c r="ZM432" s="47"/>
      <c r="ZN432" s="47"/>
      <c r="ZO432" s="47"/>
      <c r="ZP432" s="47"/>
      <c r="ZQ432" s="47"/>
      <c r="ZR432" s="47"/>
      <c r="ZS432" s="47"/>
      <c r="ZT432" s="47"/>
      <c r="ZU432" s="47"/>
      <c r="ZV432" s="47"/>
      <c r="ZW432" s="47"/>
      <c r="ZX432" s="47"/>
      <c r="ZY432" s="50"/>
      <c r="ZZ432" s="50"/>
      <c r="AAA432" s="590"/>
      <c r="AAD432" s="113"/>
      <c r="AAE432" s="553">
        <v>1</v>
      </c>
      <c r="AAF432" s="113"/>
      <c r="AAG432" s="78">
        <f>H431</f>
        <v>41562</v>
      </c>
      <c r="AAH432" s="78">
        <f>G432</f>
        <v>41562</v>
      </c>
      <c r="AAI432" s="77"/>
      <c r="AAJ432" s="56"/>
      <c r="AAK432" s="56"/>
      <c r="AAL432" s="56"/>
      <c r="AAM432" s="113"/>
      <c r="AAN432"/>
      <c r="AAT432" s="23"/>
      <c r="AAU432" s="44"/>
    </row>
    <row r="433" spans="1:732" ht="15" customHeight="1" outlineLevel="1">
      <c r="A433" s="560"/>
      <c r="B433" s="479" t="s">
        <v>23</v>
      </c>
      <c r="C433" s="310"/>
      <c r="D433" s="198"/>
      <c r="E433" s="124"/>
      <c r="F433" s="125"/>
      <c r="G433" s="197"/>
      <c r="H433" s="197"/>
      <c r="I433" s="590"/>
      <c r="J433" s="593"/>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619"/>
      <c r="ZZ433" s="624"/>
      <c r="AAA433" s="590"/>
      <c r="AAD433" s="113"/>
      <c r="AAE433" s="553">
        <v>1</v>
      </c>
      <c r="AAF433" s="585" t="s">
        <v>199</v>
      </c>
      <c r="AAG433" s="113"/>
      <c r="AAH433" s="113"/>
      <c r="AAI433" s="77"/>
      <c r="AAJ433" s="56"/>
      <c r="AAK433" s="56"/>
      <c r="AAL433" s="56"/>
      <c r="AAM433" s="113"/>
      <c r="AAN433"/>
      <c r="AAT433" s="23"/>
      <c r="AAU433" s="44"/>
    </row>
    <row r="434" spans="1:732" ht="15" customHeight="1" outlineLevel="1">
      <c r="A434" s="560"/>
      <c r="B434" s="480" t="s">
        <v>189</v>
      </c>
      <c r="C434" s="308"/>
      <c r="D434" s="196"/>
      <c r="E434" s="124"/>
      <c r="F434" s="125"/>
      <c r="G434" s="281"/>
      <c r="H434" s="233"/>
      <c r="I434" s="590"/>
      <c r="J434" s="594"/>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620"/>
      <c r="ZZ434" s="36"/>
      <c r="AAA434" s="590"/>
      <c r="AAD434" s="113"/>
      <c r="AAE434" s="553">
        <v>1</v>
      </c>
      <c r="AAF434" s="585" t="s">
        <v>199</v>
      </c>
      <c r="AAG434" s="113"/>
      <c r="AAH434" s="113"/>
      <c r="AAI434" s="77"/>
      <c r="AAJ434" s="57"/>
      <c r="AAK434" s="57"/>
      <c r="AAL434" s="57"/>
      <c r="AAM434" s="113"/>
      <c r="AAN434"/>
      <c r="AAT434" s="23"/>
      <c r="AAU434" s="44"/>
    </row>
    <row r="435" spans="1:732" ht="18" outlineLevel="1">
      <c r="A435" s="560"/>
      <c r="B435" s="307" t="s">
        <v>30</v>
      </c>
      <c r="C435" s="307"/>
      <c r="D435" s="123"/>
      <c r="E435" s="123"/>
      <c r="F435" s="123"/>
      <c r="G435" s="123"/>
      <c r="H435" s="488">
        <f>AAH435</f>
        <v>41563</v>
      </c>
      <c r="I435" s="629"/>
      <c r="J435" s="594"/>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590"/>
      <c r="AAD435" s="113"/>
      <c r="AAE435" s="553">
        <v>1</v>
      </c>
      <c r="AAF435" s="113"/>
      <c r="AAG435" s="78">
        <f>S.EQCMeeting</f>
        <v>41563</v>
      </c>
      <c r="AAH435" s="78">
        <f>S.EQCMeeting</f>
        <v>41563</v>
      </c>
      <c r="AAI435" s="77"/>
      <c r="AAJ435" s="57"/>
      <c r="AAK435" s="57"/>
      <c r="AAL435" s="57"/>
      <c r="AAM435" s="113"/>
      <c r="AAN435"/>
      <c r="AAT435" s="23"/>
      <c r="AAU435" s="44"/>
    </row>
    <row r="436" spans="1:732" ht="5.25" customHeight="1">
      <c r="A436" s="560"/>
      <c r="B436" s="311"/>
      <c r="C436" s="199"/>
      <c r="D436" s="200"/>
      <c r="E436" s="201"/>
      <c r="F436" s="201"/>
      <c r="G436" s="312"/>
      <c r="H436" s="313"/>
      <c r="I436" s="590"/>
      <c r="J436" s="635"/>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620"/>
      <c r="ZZ436" s="36"/>
      <c r="AAA436" s="590"/>
      <c r="AAD436" s="113"/>
      <c r="AAE436" s="553" t="s">
        <v>28</v>
      </c>
      <c r="AAF436" s="585" t="s">
        <v>199</v>
      </c>
      <c r="AAG436" s="63"/>
      <c r="AAH436" s="63"/>
      <c r="AAI436" s="77"/>
      <c r="AAJ436" s="57"/>
      <c r="AAK436" s="57"/>
      <c r="AAL436" s="57"/>
      <c r="AAM436" s="113"/>
      <c r="AAN436"/>
      <c r="AAT436" s="23"/>
      <c r="AAU436" s="44"/>
    </row>
    <row r="437" spans="1:732" s="23" customFormat="1" ht="18" customHeight="1">
      <c r="A437" s="560"/>
      <c r="B437" s="745" t="s">
        <v>196</v>
      </c>
      <c r="C437" s="745"/>
      <c r="D437" s="745"/>
      <c r="E437" s="745"/>
      <c r="F437" s="745"/>
      <c r="G437" s="745"/>
      <c r="H437" s="745"/>
      <c r="I437" s="629"/>
      <c r="J437" s="634"/>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c r="IW437" s="48"/>
      <c r="IX437" s="48"/>
      <c r="IY437" s="48"/>
      <c r="IZ437" s="48"/>
      <c r="JA437" s="48"/>
      <c r="JB437" s="48"/>
      <c r="JC437" s="48"/>
      <c r="JD437" s="48"/>
      <c r="JE437" s="48"/>
      <c r="JF437" s="48"/>
      <c r="JG437" s="48"/>
      <c r="JH437" s="48"/>
      <c r="JI437" s="48"/>
      <c r="JJ437" s="48"/>
      <c r="JK437" s="48"/>
      <c r="JL437" s="48"/>
      <c r="JM437" s="48"/>
      <c r="JN437" s="48"/>
      <c r="JO437" s="48"/>
      <c r="JP437" s="48"/>
      <c r="JQ437" s="48"/>
      <c r="JR437" s="48"/>
      <c r="JS437" s="48"/>
      <c r="JT437" s="48"/>
      <c r="JU437" s="48"/>
      <c r="JV437" s="48"/>
      <c r="JW437" s="48"/>
      <c r="JX437" s="48"/>
      <c r="JY437" s="48"/>
      <c r="JZ437" s="48"/>
      <c r="KA437" s="48"/>
      <c r="KB437" s="48"/>
      <c r="KC437" s="48"/>
      <c r="KD437" s="48"/>
      <c r="KE437" s="48"/>
      <c r="KF437" s="48"/>
      <c r="KG437" s="48"/>
      <c r="KH437" s="48"/>
      <c r="KI437" s="48"/>
      <c r="KJ437" s="48"/>
      <c r="KK437" s="48"/>
      <c r="KL437" s="48"/>
      <c r="KM437" s="48"/>
      <c r="KN437" s="48"/>
      <c r="KO437" s="48"/>
      <c r="KP437" s="48"/>
      <c r="KQ437" s="48"/>
      <c r="KR437" s="48"/>
      <c r="KS437" s="48"/>
      <c r="KT437" s="48"/>
      <c r="KU437" s="48"/>
      <c r="KV437" s="48"/>
      <c r="KW437" s="48"/>
      <c r="KX437" s="48"/>
      <c r="KY437" s="48"/>
      <c r="KZ437" s="48"/>
      <c r="LA437" s="48"/>
      <c r="LB437" s="48"/>
      <c r="LC437" s="48"/>
      <c r="LD437" s="48"/>
      <c r="LE437" s="48"/>
      <c r="LF437" s="48"/>
      <c r="LG437" s="48"/>
      <c r="LH437" s="48"/>
      <c r="LI437" s="48"/>
      <c r="LJ437" s="48"/>
      <c r="LK437" s="48"/>
      <c r="LL437" s="48"/>
      <c r="LM437" s="48"/>
      <c r="LN437" s="48"/>
      <c r="LO437" s="48"/>
      <c r="LP437" s="48"/>
      <c r="LQ437" s="48"/>
      <c r="LR437" s="48"/>
      <c r="LS437" s="48"/>
      <c r="LT437" s="48"/>
      <c r="LU437" s="48"/>
      <c r="LV437" s="48"/>
      <c r="LW437" s="48"/>
      <c r="LX437" s="48"/>
      <c r="LY437" s="48"/>
      <c r="LZ437" s="48"/>
      <c r="MA437" s="48"/>
      <c r="MB437" s="48"/>
      <c r="MC437" s="48"/>
      <c r="MD437" s="48"/>
      <c r="ME437" s="48"/>
      <c r="MF437" s="48"/>
      <c r="MG437" s="48"/>
      <c r="MH437" s="48"/>
      <c r="MI437" s="48"/>
      <c r="MJ437" s="48"/>
      <c r="MK437" s="48"/>
      <c r="ML437" s="48"/>
      <c r="MM437" s="48"/>
      <c r="MN437" s="48"/>
      <c r="MO437" s="48"/>
      <c r="MP437" s="48"/>
      <c r="MQ437" s="48"/>
      <c r="MR437" s="48"/>
      <c r="MS437" s="48"/>
      <c r="MT437" s="48"/>
      <c r="MU437" s="48"/>
      <c r="MV437" s="48"/>
      <c r="MW437" s="48"/>
      <c r="MX437" s="48"/>
      <c r="MY437" s="48"/>
      <c r="MZ437" s="48"/>
      <c r="NA437" s="48"/>
      <c r="NB437" s="48"/>
      <c r="NC437" s="48"/>
      <c r="ND437" s="48"/>
      <c r="NE437" s="48"/>
      <c r="NF437" s="48"/>
      <c r="NG437" s="48"/>
      <c r="NH437" s="48"/>
      <c r="NI437" s="48"/>
      <c r="NJ437" s="48"/>
      <c r="NK437" s="48"/>
      <c r="NL437" s="48"/>
      <c r="NM437" s="48"/>
      <c r="NN437" s="48"/>
      <c r="NO437" s="48"/>
      <c r="NP437" s="48"/>
      <c r="NQ437" s="48"/>
      <c r="NR437" s="48"/>
      <c r="NS437" s="48"/>
      <c r="NT437" s="48"/>
      <c r="NU437" s="48"/>
      <c r="NV437" s="48"/>
      <c r="NW437" s="48"/>
      <c r="NX437" s="48"/>
      <c r="NY437" s="48"/>
      <c r="NZ437" s="48"/>
      <c r="OA437" s="48"/>
      <c r="OB437" s="48"/>
      <c r="OC437" s="48"/>
      <c r="OD437" s="48"/>
      <c r="OE437" s="48"/>
      <c r="OF437" s="48"/>
      <c r="OG437" s="48"/>
      <c r="OH437" s="48"/>
      <c r="OI437" s="48"/>
      <c r="OJ437" s="48"/>
      <c r="OK437" s="48"/>
      <c r="OL437" s="48"/>
      <c r="OM437" s="48"/>
      <c r="ON437" s="48"/>
      <c r="OO437" s="48"/>
      <c r="OP437" s="48"/>
      <c r="OQ437" s="48"/>
      <c r="OR437" s="48"/>
      <c r="OS437" s="48"/>
      <c r="OT437" s="48"/>
      <c r="OU437" s="48"/>
      <c r="OV437" s="48"/>
      <c r="OW437" s="48"/>
      <c r="OX437" s="48"/>
      <c r="OY437" s="48"/>
      <c r="OZ437" s="48"/>
      <c r="PA437" s="48"/>
      <c r="PB437" s="48"/>
      <c r="PC437" s="48"/>
      <c r="PD437" s="48"/>
      <c r="PE437" s="48"/>
      <c r="PF437" s="48"/>
      <c r="PG437" s="48"/>
      <c r="PH437" s="48"/>
      <c r="PI437" s="48"/>
      <c r="PJ437" s="48"/>
      <c r="PK437" s="48"/>
      <c r="PL437" s="48"/>
      <c r="PM437" s="48"/>
      <c r="PN437" s="48"/>
      <c r="PO437" s="48"/>
      <c r="PP437" s="48"/>
      <c r="PQ437" s="48"/>
      <c r="PR437" s="48"/>
      <c r="PS437" s="48"/>
      <c r="PT437" s="48"/>
      <c r="PU437" s="48"/>
      <c r="PV437" s="48"/>
      <c r="PW437" s="48"/>
      <c r="PX437" s="48"/>
      <c r="PY437" s="48"/>
      <c r="PZ437" s="48"/>
      <c r="QA437" s="48"/>
      <c r="QB437" s="48"/>
      <c r="QC437" s="48"/>
      <c r="QD437" s="48"/>
      <c r="QE437" s="48"/>
      <c r="QF437" s="48"/>
      <c r="QG437" s="48"/>
      <c r="QH437" s="48"/>
      <c r="QI437" s="48"/>
      <c r="QJ437" s="48"/>
      <c r="QK437" s="48"/>
      <c r="QL437" s="48"/>
      <c r="QM437" s="48"/>
      <c r="QN437" s="48"/>
      <c r="QO437" s="48"/>
      <c r="QP437" s="48"/>
      <c r="QQ437" s="48"/>
      <c r="QR437" s="48"/>
      <c r="QS437" s="48"/>
      <c r="QT437" s="48"/>
      <c r="QU437" s="48"/>
      <c r="QV437" s="48"/>
      <c r="QW437" s="48"/>
      <c r="QX437" s="48"/>
      <c r="QY437" s="48"/>
      <c r="QZ437" s="48"/>
      <c r="RA437" s="48"/>
      <c r="RB437" s="48"/>
      <c r="RC437" s="48"/>
      <c r="RD437" s="48"/>
      <c r="RE437" s="48"/>
      <c r="RF437" s="48"/>
      <c r="RG437" s="48"/>
      <c r="RH437" s="48"/>
      <c r="RI437" s="48"/>
      <c r="RJ437" s="48"/>
      <c r="RK437" s="48"/>
      <c r="RL437" s="48"/>
      <c r="RM437" s="48"/>
      <c r="RN437" s="48"/>
      <c r="RO437" s="48"/>
      <c r="RP437" s="48"/>
      <c r="RQ437" s="48"/>
      <c r="RR437" s="48"/>
      <c r="RS437" s="48"/>
      <c r="RT437" s="48"/>
      <c r="RU437" s="48"/>
      <c r="RV437" s="48"/>
      <c r="RW437" s="48"/>
      <c r="RX437" s="48"/>
      <c r="RY437" s="48"/>
      <c r="RZ437" s="48"/>
      <c r="SA437" s="48"/>
      <c r="SB437" s="48"/>
      <c r="SC437" s="48"/>
      <c r="SD437" s="48"/>
      <c r="SE437" s="48"/>
      <c r="SF437" s="48"/>
      <c r="SG437" s="48"/>
      <c r="SH437" s="48"/>
      <c r="SI437" s="48"/>
      <c r="SJ437" s="48"/>
      <c r="SK437" s="48"/>
      <c r="SL437" s="48"/>
      <c r="SM437" s="48"/>
      <c r="SN437" s="48"/>
      <c r="SO437" s="48"/>
      <c r="SP437" s="48"/>
      <c r="SQ437" s="48"/>
      <c r="SR437" s="48"/>
      <c r="SS437" s="48"/>
      <c r="ST437" s="48"/>
      <c r="SU437" s="48"/>
      <c r="SV437" s="48"/>
      <c r="SW437" s="48"/>
      <c r="SX437" s="48"/>
      <c r="SY437" s="48"/>
      <c r="SZ437" s="48"/>
      <c r="TA437" s="48"/>
      <c r="TB437" s="48"/>
      <c r="TC437" s="48"/>
      <c r="TD437" s="48"/>
      <c r="TE437" s="48"/>
      <c r="TF437" s="48"/>
      <c r="TG437" s="48"/>
      <c r="TH437" s="48"/>
      <c r="TI437" s="48"/>
      <c r="TJ437" s="48"/>
      <c r="TK437" s="48"/>
      <c r="TL437" s="48"/>
      <c r="TM437" s="48"/>
      <c r="TN437" s="48"/>
      <c r="TO437" s="48"/>
      <c r="TP437" s="48"/>
      <c r="TQ437" s="48"/>
      <c r="TR437" s="48"/>
      <c r="TS437" s="48"/>
      <c r="TT437" s="48"/>
      <c r="TU437" s="48"/>
      <c r="TV437" s="48"/>
      <c r="TW437" s="48"/>
      <c r="TX437" s="48"/>
      <c r="TY437" s="48"/>
      <c r="TZ437" s="48"/>
      <c r="UA437" s="48"/>
      <c r="UB437" s="48"/>
      <c r="UC437" s="48"/>
      <c r="UD437" s="48"/>
      <c r="UE437" s="48"/>
      <c r="UF437" s="48"/>
      <c r="UG437" s="48"/>
      <c r="UH437" s="48"/>
      <c r="UI437" s="48"/>
      <c r="UJ437" s="48"/>
      <c r="UK437" s="48"/>
      <c r="UL437" s="48"/>
      <c r="UM437" s="48"/>
      <c r="UN437" s="48"/>
      <c r="UO437" s="48"/>
      <c r="UP437" s="48"/>
      <c r="UQ437" s="48"/>
      <c r="UR437" s="48"/>
      <c r="US437" s="48"/>
      <c r="UT437" s="48"/>
      <c r="UU437" s="48"/>
      <c r="UV437" s="48"/>
      <c r="UW437" s="48"/>
      <c r="UX437" s="48"/>
      <c r="UY437" s="48"/>
      <c r="UZ437" s="48"/>
      <c r="VA437" s="48"/>
      <c r="VB437" s="48"/>
      <c r="VC437" s="48"/>
      <c r="VD437" s="48"/>
      <c r="VE437" s="48"/>
      <c r="VF437" s="48"/>
      <c r="VG437" s="48"/>
      <c r="VH437" s="48"/>
      <c r="VI437" s="48"/>
      <c r="VJ437" s="48"/>
      <c r="VK437" s="48"/>
      <c r="VL437" s="48"/>
      <c r="VM437" s="48"/>
      <c r="VN437" s="48"/>
      <c r="VO437" s="48"/>
      <c r="VP437" s="48"/>
      <c r="VQ437" s="48"/>
      <c r="VR437" s="48"/>
      <c r="VS437" s="48"/>
      <c r="VT437" s="48"/>
      <c r="VU437" s="48"/>
      <c r="VV437" s="48"/>
      <c r="VW437" s="48"/>
      <c r="VX437" s="48"/>
      <c r="VY437" s="48"/>
      <c r="VZ437" s="48"/>
      <c r="WA437" s="48"/>
      <c r="WB437" s="48"/>
      <c r="WC437" s="48"/>
      <c r="WD437" s="48"/>
      <c r="WE437" s="48"/>
      <c r="WF437" s="48"/>
      <c r="WG437" s="48"/>
      <c r="WH437" s="48"/>
      <c r="WI437" s="48"/>
      <c r="WJ437" s="48"/>
      <c r="WK437" s="48"/>
      <c r="WL437" s="48"/>
      <c r="WM437" s="48"/>
      <c r="WN437" s="48"/>
      <c r="WO437" s="48"/>
      <c r="WP437" s="48"/>
      <c r="WQ437" s="48"/>
      <c r="WR437" s="48"/>
      <c r="WS437" s="48"/>
      <c r="WT437" s="48"/>
      <c r="WU437" s="48"/>
      <c r="WV437" s="48"/>
      <c r="WW437" s="48"/>
      <c r="WX437" s="48"/>
      <c r="WY437" s="48"/>
      <c r="WZ437" s="48"/>
      <c r="XA437" s="48"/>
      <c r="XB437" s="48"/>
      <c r="XC437" s="48"/>
      <c r="XD437" s="48"/>
      <c r="XE437" s="48"/>
      <c r="XF437" s="48"/>
      <c r="XG437" s="48"/>
      <c r="XH437" s="48"/>
      <c r="XI437" s="48"/>
      <c r="XJ437" s="48"/>
      <c r="XK437" s="48"/>
      <c r="XL437" s="48"/>
      <c r="XM437" s="48"/>
      <c r="XN437" s="48"/>
      <c r="XO437" s="48"/>
      <c r="XP437" s="48"/>
      <c r="XQ437" s="48"/>
      <c r="XR437" s="48"/>
      <c r="XS437" s="48"/>
      <c r="XT437" s="48"/>
      <c r="XU437" s="48"/>
      <c r="XV437" s="48"/>
      <c r="XW437" s="48"/>
      <c r="XX437" s="48"/>
      <c r="XY437" s="48"/>
      <c r="XZ437" s="48"/>
      <c r="YA437" s="48"/>
      <c r="YB437" s="48"/>
      <c r="YC437" s="48"/>
      <c r="YD437" s="48"/>
      <c r="YE437" s="48"/>
      <c r="YF437" s="48"/>
      <c r="YG437" s="48"/>
      <c r="YH437" s="48"/>
      <c r="YI437" s="48"/>
      <c r="YJ437" s="48"/>
      <c r="YK437" s="48"/>
      <c r="YL437" s="48"/>
      <c r="YM437" s="48"/>
      <c r="YN437" s="48"/>
      <c r="YO437" s="48"/>
      <c r="YP437" s="48"/>
      <c r="YQ437" s="48"/>
      <c r="YR437" s="48"/>
      <c r="YS437" s="48"/>
      <c r="YT437" s="48"/>
      <c r="YU437" s="48"/>
      <c r="YV437" s="48"/>
      <c r="YW437" s="48"/>
      <c r="YX437" s="48"/>
      <c r="YY437" s="48"/>
      <c r="YZ437" s="48"/>
      <c r="ZA437" s="48"/>
      <c r="ZB437" s="48"/>
      <c r="ZC437" s="48"/>
      <c r="ZD437" s="48"/>
      <c r="ZE437" s="48"/>
      <c r="ZF437" s="48"/>
      <c r="ZG437" s="48"/>
      <c r="ZH437" s="48"/>
      <c r="ZI437" s="48"/>
      <c r="ZJ437" s="48"/>
      <c r="ZK437" s="48"/>
      <c r="ZL437" s="48"/>
      <c r="ZM437" s="48"/>
      <c r="ZN437" s="48"/>
      <c r="ZO437" s="48"/>
      <c r="ZP437" s="48"/>
      <c r="ZQ437" s="48"/>
      <c r="ZR437" s="48"/>
      <c r="ZS437" s="48"/>
      <c r="ZT437" s="48"/>
      <c r="ZU437" s="48"/>
      <c r="ZV437" s="48"/>
      <c r="ZW437" s="48"/>
      <c r="ZX437" s="48"/>
      <c r="ZY437" s="621"/>
      <c r="ZZ437" s="120"/>
      <c r="AAA437" s="590"/>
      <c r="AAB437"/>
      <c r="AAC437"/>
      <c r="AAD437" s="113"/>
      <c r="AAE437" s="553" t="s">
        <v>29</v>
      </c>
      <c r="AAF437" s="585" t="s">
        <v>199</v>
      </c>
      <c r="AAG437" s="78"/>
      <c r="AAH437" s="78"/>
      <c r="AAI437" s="77"/>
      <c r="AAJ437" s="90"/>
      <c r="AAK437" s="90"/>
      <c r="AAL437" s="76"/>
      <c r="AAM437" s="113"/>
      <c r="AAU437" s="44"/>
    </row>
    <row r="438" spans="1:732" s="23" customFormat="1" ht="18" customHeight="1">
      <c r="A438" s="560"/>
      <c r="B438" s="302" t="s">
        <v>15</v>
      </c>
      <c r="C438" s="711"/>
      <c r="D438" s="151" t="s">
        <v>272</v>
      </c>
      <c r="E438" s="152" t="s">
        <v>15</v>
      </c>
      <c r="F438" s="489" t="s">
        <v>2</v>
      </c>
      <c r="G438" s="153" t="s">
        <v>90</v>
      </c>
      <c r="H438" s="153" t="s">
        <v>91</v>
      </c>
      <c r="I438" s="629"/>
      <c r="J438" s="595"/>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21"/>
      <c r="ZZ438" s="120"/>
      <c r="AAA438" s="590"/>
      <c r="AAB438"/>
      <c r="AAC438"/>
      <c r="AAD438" s="113"/>
      <c r="AAE438" s="553" t="s">
        <v>276</v>
      </c>
      <c r="AAF438" s="585" t="s">
        <v>199</v>
      </c>
      <c r="AAG438" s="78"/>
      <c r="AAH438" s="78"/>
      <c r="AAI438" s="77"/>
      <c r="AAJ438" s="90"/>
      <c r="AAK438" s="90"/>
      <c r="AAL438" s="76"/>
      <c r="AAM438" s="113"/>
      <c r="AAU438" s="44"/>
    </row>
    <row r="439" spans="1:732" ht="18" customHeight="1">
      <c r="A439" s="560"/>
      <c r="B439" s="224"/>
      <c r="C439" s="225"/>
      <c r="D439" s="314" t="s">
        <v>0</v>
      </c>
      <c r="E439" s="294"/>
      <c r="F439" s="467">
        <f>NETWORKDAYS(S.BANNER.PostEQCStart,S.BANNER.PostEQCEnd,S.DDL_DEQClosed)</f>
        <v>1</v>
      </c>
      <c r="G439" s="315">
        <f>AAG439</f>
        <v>41527</v>
      </c>
      <c r="H439" s="275">
        <f>AAH439</f>
        <v>41624</v>
      </c>
      <c r="I439" s="629"/>
      <c r="J439" s="631"/>
      <c r="K439" s="637"/>
      <c r="L439" s="637"/>
      <c r="M439" s="637"/>
      <c r="N439" s="637"/>
      <c r="O439" s="637"/>
      <c r="P439" s="637"/>
      <c r="Q439" s="637"/>
      <c r="R439" s="637"/>
      <c r="S439" s="637"/>
      <c r="T439" s="637"/>
      <c r="U439" s="637"/>
      <c r="V439" s="637"/>
      <c r="W439" s="637"/>
      <c r="X439" s="637"/>
      <c r="Y439" s="637"/>
      <c r="Z439" s="637"/>
      <c r="AA439" s="637"/>
      <c r="AB439" s="637"/>
      <c r="AC439" s="637"/>
      <c r="AD439" s="637"/>
      <c r="AE439" s="637"/>
      <c r="AF439" s="637"/>
      <c r="AG439" s="637"/>
      <c r="AH439" s="637"/>
      <c r="AI439" s="637"/>
      <c r="AJ439" s="637"/>
      <c r="AK439" s="637"/>
      <c r="AL439" s="637"/>
      <c r="AM439" s="637"/>
      <c r="AN439" s="637"/>
      <c r="AO439" s="637"/>
      <c r="AP439" s="637"/>
      <c r="AQ439" s="637"/>
      <c r="AR439" s="637"/>
      <c r="AS439" s="637"/>
      <c r="AT439" s="637"/>
      <c r="AU439" s="637"/>
      <c r="AV439" s="637"/>
      <c r="AW439" s="637"/>
      <c r="AX439" s="637"/>
      <c r="AY439" s="637"/>
      <c r="AZ439" s="637"/>
      <c r="BA439" s="637"/>
      <c r="BB439" s="637"/>
      <c r="BC439" s="637"/>
      <c r="BD439" s="637"/>
      <c r="BE439" s="637"/>
      <c r="BF439" s="637"/>
      <c r="BG439" s="637"/>
      <c r="BH439" s="637"/>
      <c r="BI439" s="637"/>
      <c r="BJ439" s="637"/>
      <c r="BK439" s="637"/>
      <c r="BL439" s="637"/>
      <c r="BM439" s="637"/>
      <c r="BN439" s="637"/>
      <c r="BO439" s="637"/>
      <c r="BP439" s="637"/>
      <c r="BQ439" s="637"/>
      <c r="BR439" s="637"/>
      <c r="BS439" s="637"/>
      <c r="BT439" s="637"/>
      <c r="BU439" s="637"/>
      <c r="BV439" s="637"/>
      <c r="BW439" s="637"/>
      <c r="BX439" s="637"/>
      <c r="BY439" s="637"/>
      <c r="BZ439" s="637"/>
      <c r="CA439" s="637"/>
      <c r="CB439" s="637"/>
      <c r="CC439" s="637"/>
      <c r="CD439" s="637"/>
      <c r="CE439" s="637"/>
      <c r="CF439" s="637"/>
      <c r="CG439" s="637"/>
      <c r="CH439" s="637"/>
      <c r="CI439" s="637"/>
      <c r="CJ439" s="637"/>
      <c r="CK439" s="637"/>
      <c r="CL439" s="637"/>
      <c r="CM439" s="637"/>
      <c r="CN439" s="637"/>
      <c r="CO439" s="637"/>
      <c r="CP439" s="637"/>
      <c r="CQ439" s="637"/>
      <c r="CR439" s="637"/>
      <c r="CS439" s="637"/>
      <c r="CT439" s="637"/>
      <c r="CU439" s="637"/>
      <c r="CV439" s="637"/>
      <c r="CW439" s="637"/>
      <c r="CX439" s="637"/>
      <c r="CY439" s="637"/>
      <c r="CZ439" s="637"/>
      <c r="DA439" s="637"/>
      <c r="DB439" s="637"/>
      <c r="DC439" s="637"/>
      <c r="DD439" s="637"/>
      <c r="DE439" s="637"/>
      <c r="DF439" s="637"/>
      <c r="DG439" s="637"/>
      <c r="DH439" s="637"/>
      <c r="DI439" s="637"/>
      <c r="DJ439" s="637"/>
      <c r="DK439" s="637"/>
      <c r="DL439" s="637"/>
      <c r="DM439" s="637"/>
      <c r="DN439" s="637"/>
      <c r="DO439" s="637"/>
      <c r="DP439" s="637"/>
      <c r="DQ439" s="637"/>
      <c r="DR439" s="637"/>
      <c r="DS439" s="637"/>
      <c r="DT439" s="637"/>
      <c r="DU439" s="637"/>
      <c r="DV439" s="637"/>
      <c r="DW439" s="637"/>
      <c r="DX439" s="637"/>
      <c r="DY439" s="637"/>
      <c r="DZ439" s="637"/>
      <c r="EA439" s="637"/>
      <c r="EB439" s="637"/>
      <c r="EC439" s="637"/>
      <c r="ED439" s="637"/>
      <c r="EE439" s="637"/>
      <c r="EF439" s="637"/>
      <c r="EG439" s="637"/>
      <c r="EH439" s="637"/>
      <c r="EI439" s="637"/>
      <c r="EJ439" s="637"/>
      <c r="EK439" s="637"/>
      <c r="EL439" s="637"/>
      <c r="EM439" s="637"/>
      <c r="EN439" s="637"/>
      <c r="EO439" s="637"/>
      <c r="EP439" s="637"/>
      <c r="EQ439" s="637"/>
      <c r="ER439" s="637"/>
      <c r="ES439" s="637"/>
      <c r="ET439" s="637"/>
      <c r="EU439" s="637"/>
      <c r="EV439" s="637"/>
      <c r="EW439" s="637"/>
      <c r="EX439" s="637"/>
      <c r="EY439" s="637"/>
      <c r="EZ439" s="637"/>
      <c r="FA439" s="637"/>
      <c r="FB439" s="637"/>
      <c r="FC439" s="637"/>
      <c r="FD439" s="637"/>
      <c r="FE439" s="637"/>
      <c r="FF439" s="637"/>
      <c r="FG439" s="637"/>
      <c r="FH439" s="637"/>
      <c r="FI439" s="637"/>
      <c r="FJ439" s="637"/>
      <c r="FK439" s="637"/>
      <c r="FL439" s="637"/>
      <c r="FM439" s="637"/>
      <c r="FN439" s="637"/>
      <c r="FO439" s="637"/>
      <c r="FP439" s="637"/>
      <c r="FQ439" s="637"/>
      <c r="FR439" s="637"/>
      <c r="FS439" s="637"/>
      <c r="FT439" s="637"/>
      <c r="FU439" s="637"/>
      <c r="FV439" s="637"/>
      <c r="FW439" s="637"/>
      <c r="FX439" s="637"/>
      <c r="FY439" s="637"/>
      <c r="FZ439" s="637"/>
      <c r="GA439" s="637"/>
      <c r="GB439" s="637"/>
      <c r="GC439" s="637"/>
      <c r="GD439" s="637"/>
      <c r="GE439" s="637"/>
      <c r="GF439" s="637"/>
      <c r="GG439" s="637"/>
      <c r="GH439" s="637"/>
      <c r="GI439" s="637"/>
      <c r="GJ439" s="637"/>
      <c r="GK439" s="637"/>
      <c r="GL439" s="637"/>
      <c r="GM439" s="637"/>
      <c r="GN439" s="637"/>
      <c r="GO439" s="637"/>
      <c r="GP439" s="637"/>
      <c r="GQ439" s="637"/>
      <c r="GR439" s="637"/>
      <c r="GS439" s="637"/>
      <c r="GT439" s="637"/>
      <c r="GU439" s="637"/>
      <c r="GV439" s="637"/>
      <c r="GW439" s="637"/>
      <c r="GX439" s="637"/>
      <c r="GY439" s="637"/>
      <c r="GZ439" s="637"/>
      <c r="HA439" s="637"/>
      <c r="HB439" s="637"/>
      <c r="HC439" s="637"/>
      <c r="HD439" s="637"/>
      <c r="HE439" s="637"/>
      <c r="HF439" s="637"/>
      <c r="HG439" s="637"/>
      <c r="HH439" s="637"/>
      <c r="HI439" s="637"/>
      <c r="HJ439" s="637"/>
      <c r="HK439" s="637"/>
      <c r="HL439" s="637"/>
      <c r="HM439" s="637"/>
      <c r="HN439" s="637"/>
      <c r="HO439" s="637"/>
      <c r="HP439" s="637"/>
      <c r="HQ439" s="637"/>
      <c r="HR439" s="637"/>
      <c r="HS439" s="637"/>
      <c r="HT439" s="637"/>
      <c r="HU439" s="637"/>
      <c r="HV439" s="637"/>
      <c r="HW439" s="637"/>
      <c r="HX439" s="637"/>
      <c r="HY439" s="637"/>
      <c r="HZ439" s="637"/>
      <c r="IA439" s="637"/>
      <c r="IB439" s="637"/>
      <c r="IC439" s="637"/>
      <c r="ID439" s="637"/>
      <c r="IE439" s="637"/>
      <c r="IF439" s="637"/>
      <c r="IG439" s="637"/>
      <c r="IH439" s="637"/>
      <c r="II439" s="637"/>
      <c r="IJ439" s="637"/>
      <c r="IK439" s="637"/>
      <c r="IL439" s="637"/>
      <c r="IM439" s="637"/>
      <c r="IN439" s="637"/>
      <c r="IO439" s="637"/>
      <c r="IP439" s="637"/>
      <c r="IQ439" s="637"/>
      <c r="IR439" s="637"/>
      <c r="IS439" s="637"/>
      <c r="IT439" s="637"/>
      <c r="IU439" s="637"/>
      <c r="IV439" s="637"/>
      <c r="IW439" s="637"/>
      <c r="IX439" s="637"/>
      <c r="IY439" s="637"/>
      <c r="IZ439" s="637"/>
      <c r="JA439" s="637"/>
      <c r="JB439" s="637"/>
      <c r="JC439" s="637"/>
      <c r="JD439" s="637"/>
      <c r="JE439" s="637"/>
      <c r="JF439" s="637"/>
      <c r="JG439" s="637"/>
      <c r="JH439" s="637"/>
      <c r="JI439" s="637"/>
      <c r="JJ439" s="637"/>
      <c r="JK439" s="637"/>
      <c r="JL439" s="637"/>
      <c r="JM439" s="637"/>
      <c r="JN439" s="637"/>
      <c r="JO439" s="637"/>
      <c r="JP439" s="637"/>
      <c r="JQ439" s="637"/>
      <c r="JR439" s="637"/>
      <c r="JS439" s="637"/>
      <c r="JT439" s="637"/>
      <c r="JU439" s="637"/>
      <c r="JV439" s="637"/>
      <c r="JW439" s="637"/>
      <c r="JX439" s="637"/>
      <c r="JY439" s="637"/>
      <c r="JZ439" s="637"/>
      <c r="KA439" s="637"/>
      <c r="KB439" s="637"/>
      <c r="KC439" s="637"/>
      <c r="KD439" s="637"/>
      <c r="KE439" s="637"/>
      <c r="KF439" s="637"/>
      <c r="KG439" s="637"/>
      <c r="KH439" s="637"/>
      <c r="KI439" s="637"/>
      <c r="KJ439" s="637"/>
      <c r="KK439" s="637"/>
      <c r="KL439" s="637"/>
      <c r="KM439" s="637"/>
      <c r="KN439" s="637"/>
      <c r="KO439" s="637"/>
      <c r="KP439" s="637"/>
      <c r="KQ439" s="637"/>
      <c r="KR439" s="637"/>
      <c r="KS439" s="637"/>
      <c r="KT439" s="637"/>
      <c r="KU439" s="637"/>
      <c r="KV439" s="637"/>
      <c r="KW439" s="637"/>
      <c r="KX439" s="637"/>
      <c r="KY439" s="637"/>
      <c r="KZ439" s="637"/>
      <c r="LA439" s="637"/>
      <c r="LB439" s="637"/>
      <c r="LC439" s="637"/>
      <c r="LD439" s="637"/>
      <c r="LE439" s="637"/>
      <c r="LF439" s="637"/>
      <c r="LG439" s="637"/>
      <c r="LH439" s="637"/>
      <c r="LI439" s="637"/>
      <c r="LJ439" s="637"/>
      <c r="LK439" s="637"/>
      <c r="LL439" s="637"/>
      <c r="LM439" s="637"/>
      <c r="LN439" s="637"/>
      <c r="LO439" s="637"/>
      <c r="LP439" s="637"/>
      <c r="LQ439" s="637"/>
      <c r="LR439" s="637"/>
      <c r="LS439" s="637"/>
      <c r="LT439" s="637"/>
      <c r="LU439" s="637"/>
      <c r="LV439" s="637"/>
      <c r="LW439" s="637"/>
      <c r="LX439" s="637"/>
      <c r="LY439" s="637"/>
      <c r="LZ439" s="637"/>
      <c r="MA439" s="637"/>
      <c r="MB439" s="637"/>
      <c r="MC439" s="637"/>
      <c r="MD439" s="637"/>
      <c r="ME439" s="637"/>
      <c r="MF439" s="637"/>
      <c r="MG439" s="637"/>
      <c r="MH439" s="637"/>
      <c r="MI439" s="637"/>
      <c r="MJ439" s="637"/>
      <c r="MK439" s="637"/>
      <c r="ML439" s="637"/>
      <c r="MM439" s="637"/>
      <c r="MN439" s="637"/>
      <c r="MO439" s="637"/>
      <c r="MP439" s="637"/>
      <c r="MQ439" s="637"/>
      <c r="MR439" s="637"/>
      <c r="MS439" s="637"/>
      <c r="MT439" s="637"/>
      <c r="MU439" s="637"/>
      <c r="MV439" s="637"/>
      <c r="MW439" s="637"/>
      <c r="MX439" s="637"/>
      <c r="MY439" s="637"/>
      <c r="MZ439" s="637"/>
      <c r="NA439" s="637"/>
      <c r="NB439" s="637"/>
      <c r="NC439" s="637"/>
      <c r="ND439" s="637"/>
      <c r="NE439" s="637"/>
      <c r="NF439" s="637"/>
      <c r="NG439" s="637"/>
      <c r="NH439" s="637"/>
      <c r="NI439" s="637"/>
      <c r="NJ439" s="637"/>
      <c r="NK439" s="637"/>
      <c r="NL439" s="637"/>
      <c r="NM439" s="637"/>
      <c r="NN439" s="637"/>
      <c r="NO439" s="637"/>
      <c r="NP439" s="637"/>
      <c r="NQ439" s="637"/>
      <c r="NR439" s="637"/>
      <c r="NS439" s="637"/>
      <c r="NT439" s="637"/>
      <c r="NU439" s="637"/>
      <c r="NV439" s="637"/>
      <c r="NW439" s="637"/>
      <c r="NX439" s="637"/>
      <c r="NY439" s="637"/>
      <c r="NZ439" s="637"/>
      <c r="OA439" s="637"/>
      <c r="OB439" s="637"/>
      <c r="OC439" s="637"/>
      <c r="OD439" s="637"/>
      <c r="OE439" s="637"/>
      <c r="OF439" s="637"/>
      <c r="OG439" s="637"/>
      <c r="OH439" s="637"/>
      <c r="OI439" s="637"/>
      <c r="OJ439" s="637"/>
      <c r="OK439" s="637"/>
      <c r="OL439" s="637"/>
      <c r="OM439" s="637"/>
      <c r="ON439" s="637"/>
      <c r="OO439" s="637"/>
      <c r="OP439" s="637"/>
      <c r="OQ439" s="637"/>
      <c r="OR439" s="637"/>
      <c r="OS439" s="637"/>
      <c r="OT439" s="637"/>
      <c r="OU439" s="637"/>
      <c r="OV439" s="637"/>
      <c r="OW439" s="637"/>
      <c r="OX439" s="637"/>
      <c r="OY439" s="637"/>
      <c r="OZ439" s="637"/>
      <c r="PA439" s="637"/>
      <c r="PB439" s="637"/>
      <c r="PC439" s="637"/>
      <c r="PD439" s="637"/>
      <c r="PE439" s="637"/>
      <c r="PF439" s="637"/>
      <c r="PG439" s="637"/>
      <c r="PH439" s="637"/>
      <c r="PI439" s="637"/>
      <c r="PJ439" s="637"/>
      <c r="PK439" s="637"/>
      <c r="PL439" s="637"/>
      <c r="PM439" s="637"/>
      <c r="PN439" s="637"/>
      <c r="PO439" s="637"/>
      <c r="PP439" s="637"/>
      <c r="PQ439" s="637"/>
      <c r="PR439" s="637"/>
      <c r="PS439" s="637"/>
      <c r="PT439" s="637"/>
      <c r="PU439" s="637"/>
      <c r="PV439" s="637"/>
      <c r="PW439" s="637"/>
      <c r="PX439" s="637"/>
      <c r="PY439" s="637"/>
      <c r="PZ439" s="637"/>
      <c r="QA439" s="637"/>
      <c r="QB439" s="637"/>
      <c r="QC439" s="637"/>
      <c r="QD439" s="637"/>
      <c r="QE439" s="637"/>
      <c r="QF439" s="637"/>
      <c r="QG439" s="637"/>
      <c r="QH439" s="637"/>
      <c r="QI439" s="637"/>
      <c r="QJ439" s="637"/>
      <c r="QK439" s="637"/>
      <c r="QL439" s="637"/>
      <c r="QM439" s="637"/>
      <c r="QN439" s="637"/>
      <c r="QO439" s="637"/>
      <c r="QP439" s="637"/>
      <c r="QQ439" s="637"/>
      <c r="QR439" s="637"/>
      <c r="QS439" s="637"/>
      <c r="QT439" s="637"/>
      <c r="QU439" s="637"/>
      <c r="QV439" s="637"/>
      <c r="QW439" s="637"/>
      <c r="QX439" s="637"/>
      <c r="QY439" s="637"/>
      <c r="QZ439" s="637"/>
      <c r="RA439" s="637"/>
      <c r="RB439" s="637"/>
      <c r="RC439" s="637"/>
      <c r="RD439" s="637"/>
      <c r="RE439" s="637"/>
      <c r="RF439" s="637"/>
      <c r="RG439" s="637"/>
      <c r="RH439" s="637"/>
      <c r="RI439" s="637"/>
      <c r="RJ439" s="637"/>
      <c r="RK439" s="637"/>
      <c r="RL439" s="637"/>
      <c r="RM439" s="637"/>
      <c r="RN439" s="637"/>
      <c r="RO439" s="637"/>
      <c r="RP439" s="637"/>
      <c r="RQ439" s="637"/>
      <c r="RR439" s="637"/>
      <c r="RS439" s="637"/>
      <c r="RT439" s="637"/>
      <c r="RU439" s="637"/>
      <c r="RV439" s="637"/>
      <c r="RW439" s="637"/>
      <c r="RX439" s="637"/>
      <c r="RY439" s="637"/>
      <c r="RZ439" s="637"/>
      <c r="SA439" s="637"/>
      <c r="SB439" s="637"/>
      <c r="SC439" s="637"/>
      <c r="SD439" s="637"/>
      <c r="SE439" s="637"/>
      <c r="SF439" s="637"/>
      <c r="SG439" s="637"/>
      <c r="SH439" s="637"/>
      <c r="SI439" s="637"/>
      <c r="SJ439" s="637"/>
      <c r="SK439" s="637"/>
      <c r="SL439" s="637"/>
      <c r="SM439" s="637"/>
      <c r="SN439" s="637"/>
      <c r="SO439" s="637"/>
      <c r="SP439" s="637"/>
      <c r="SQ439" s="637"/>
      <c r="SR439" s="637"/>
      <c r="SS439" s="637"/>
      <c r="ST439" s="637"/>
      <c r="SU439" s="637"/>
      <c r="SV439" s="637"/>
      <c r="SW439" s="637"/>
      <c r="SX439" s="637"/>
      <c r="SY439" s="637"/>
      <c r="SZ439" s="637"/>
      <c r="TA439" s="637"/>
      <c r="TB439" s="637"/>
      <c r="TC439" s="637"/>
      <c r="TD439" s="637"/>
      <c r="TE439" s="637"/>
      <c r="TF439" s="637"/>
      <c r="TG439" s="637"/>
      <c r="TH439" s="637"/>
      <c r="TI439" s="637"/>
      <c r="TJ439" s="637"/>
      <c r="TK439" s="637"/>
      <c r="TL439" s="637"/>
      <c r="TM439" s="637"/>
      <c r="TN439" s="637"/>
      <c r="TO439" s="637"/>
      <c r="TP439" s="637"/>
      <c r="TQ439" s="637"/>
      <c r="TR439" s="637"/>
      <c r="TS439" s="637"/>
      <c r="TT439" s="637"/>
      <c r="TU439" s="637"/>
      <c r="TV439" s="637"/>
      <c r="TW439" s="637"/>
      <c r="TX439" s="637"/>
      <c r="TY439" s="637"/>
      <c r="TZ439" s="637"/>
      <c r="UA439" s="637"/>
      <c r="UB439" s="637"/>
      <c r="UC439" s="637"/>
      <c r="UD439" s="637"/>
      <c r="UE439" s="637"/>
      <c r="UF439" s="637"/>
      <c r="UG439" s="637"/>
      <c r="UH439" s="637"/>
      <c r="UI439" s="637"/>
      <c r="UJ439" s="637"/>
      <c r="UK439" s="637"/>
      <c r="UL439" s="637"/>
      <c r="UM439" s="637"/>
      <c r="UN439" s="637"/>
      <c r="UO439" s="637"/>
      <c r="UP439" s="637"/>
      <c r="UQ439" s="637"/>
      <c r="UR439" s="637"/>
      <c r="US439" s="637"/>
      <c r="UT439" s="637"/>
      <c r="UU439" s="637"/>
      <c r="UV439" s="637"/>
      <c r="UW439" s="637"/>
      <c r="UX439" s="637"/>
      <c r="UY439" s="637"/>
      <c r="UZ439" s="637"/>
      <c r="VA439" s="637"/>
      <c r="VB439" s="637"/>
      <c r="VC439" s="637"/>
      <c r="VD439" s="637"/>
      <c r="VE439" s="637"/>
      <c r="VF439" s="637"/>
      <c r="VG439" s="637"/>
      <c r="VH439" s="637"/>
      <c r="VI439" s="637"/>
      <c r="VJ439" s="637"/>
      <c r="VK439" s="637"/>
      <c r="VL439" s="637"/>
      <c r="VM439" s="637"/>
      <c r="VN439" s="637"/>
      <c r="VO439" s="637"/>
      <c r="VP439" s="637"/>
      <c r="VQ439" s="637"/>
      <c r="VR439" s="637"/>
      <c r="VS439" s="637"/>
      <c r="VT439" s="637"/>
      <c r="VU439" s="637"/>
      <c r="VV439" s="637"/>
      <c r="VW439" s="637"/>
      <c r="VX439" s="637"/>
      <c r="VY439" s="637"/>
      <c r="VZ439" s="637"/>
      <c r="WA439" s="637"/>
      <c r="WB439" s="637"/>
      <c r="WC439" s="637"/>
      <c r="WD439" s="637"/>
      <c r="WE439" s="637"/>
      <c r="WF439" s="637"/>
      <c r="WG439" s="637"/>
      <c r="WH439" s="637"/>
      <c r="WI439" s="637"/>
      <c r="WJ439" s="637"/>
      <c r="WK439" s="637"/>
      <c r="WL439" s="637"/>
      <c r="WM439" s="637"/>
      <c r="WN439" s="637"/>
      <c r="WO439" s="637"/>
      <c r="WP439" s="637"/>
      <c r="WQ439" s="637"/>
      <c r="WR439" s="637"/>
      <c r="WS439" s="637"/>
      <c r="WT439" s="637"/>
      <c r="WU439" s="637"/>
      <c r="WV439" s="637"/>
      <c r="WW439" s="637"/>
      <c r="WX439" s="637"/>
      <c r="WY439" s="637"/>
      <c r="WZ439" s="637"/>
      <c r="XA439" s="637"/>
      <c r="XB439" s="637"/>
      <c r="XC439" s="637"/>
      <c r="XD439" s="637"/>
      <c r="XE439" s="637"/>
      <c r="XF439" s="637"/>
      <c r="XG439" s="637"/>
      <c r="XH439" s="637"/>
      <c r="XI439" s="637"/>
      <c r="XJ439" s="637"/>
      <c r="XK439" s="637"/>
      <c r="XL439" s="637"/>
      <c r="XM439" s="637"/>
      <c r="XN439" s="637"/>
      <c r="XO439" s="637"/>
      <c r="XP439" s="637"/>
      <c r="XQ439" s="637"/>
      <c r="XR439" s="637"/>
      <c r="XS439" s="637"/>
      <c r="XT439" s="637"/>
      <c r="XU439" s="637"/>
      <c r="XV439" s="637"/>
      <c r="XW439" s="637"/>
      <c r="XX439" s="637"/>
      <c r="XY439" s="637"/>
      <c r="XZ439" s="637"/>
      <c r="YA439" s="637"/>
      <c r="YB439" s="637"/>
      <c r="YC439" s="637"/>
      <c r="YD439" s="637"/>
      <c r="YE439" s="637"/>
      <c r="YF439" s="637"/>
      <c r="YG439" s="637"/>
      <c r="YH439" s="637"/>
      <c r="YI439" s="637"/>
      <c r="YJ439" s="637"/>
      <c r="YK439" s="637"/>
      <c r="YL439" s="637"/>
      <c r="YM439" s="637"/>
      <c r="YN439" s="637"/>
      <c r="YO439" s="637"/>
      <c r="YP439" s="637"/>
      <c r="YQ439" s="637"/>
      <c r="YR439" s="637"/>
      <c r="YS439" s="637"/>
      <c r="YT439" s="637"/>
      <c r="YU439" s="637"/>
      <c r="YV439" s="637"/>
      <c r="YW439" s="637"/>
      <c r="YX439" s="637"/>
      <c r="YY439" s="637"/>
      <c r="YZ439" s="637"/>
      <c r="ZA439" s="637"/>
      <c r="ZB439" s="637"/>
      <c r="ZC439" s="637"/>
      <c r="ZD439" s="637"/>
      <c r="ZE439" s="637"/>
      <c r="ZF439" s="637"/>
      <c r="ZG439" s="637"/>
      <c r="ZH439" s="637"/>
      <c r="ZI439" s="637"/>
      <c r="ZJ439" s="637"/>
      <c r="ZK439" s="637"/>
      <c r="ZL439" s="637"/>
      <c r="ZM439" s="637"/>
      <c r="ZN439" s="637"/>
      <c r="ZO439" s="637"/>
      <c r="ZP439" s="637"/>
      <c r="ZQ439" s="637"/>
      <c r="ZR439" s="637"/>
      <c r="ZS439" s="637"/>
      <c r="ZT439" s="637"/>
      <c r="ZU439" s="637"/>
      <c r="ZV439" s="637"/>
      <c r="ZW439" s="637"/>
      <c r="ZX439" s="637"/>
      <c r="ZY439" s="640"/>
      <c r="ZZ439" s="120"/>
      <c r="AAA439" s="590"/>
      <c r="AAD439" s="113"/>
      <c r="AAE439" s="553" t="s">
        <v>276</v>
      </c>
      <c r="AAF439" s="585" t="s">
        <v>199</v>
      </c>
      <c r="AAG439" s="78">
        <f>S.SubmitStaffRpt</f>
        <v>41527</v>
      </c>
      <c r="AAH439" s="78">
        <f>WORKDAY(S.EQCMeeting+60,1,S.DDL_DEQClosed)</f>
        <v>41624</v>
      </c>
      <c r="AAI439" s="77"/>
      <c r="AAJ439" s="57"/>
      <c r="AAK439" s="57"/>
      <c r="AAL439" s="57"/>
      <c r="AAM439" s="113"/>
      <c r="AAN439"/>
      <c r="AAT439" s="23"/>
      <c r="AAU439" s="44"/>
    </row>
    <row r="440" spans="1:732" ht="6" customHeight="1">
      <c r="A440" s="560"/>
      <c r="B440" s="207"/>
      <c r="C440" s="696"/>
      <c r="D440" s="181"/>
      <c r="E440" s="182"/>
      <c r="F440" s="182"/>
      <c r="G440" s="181"/>
      <c r="H440" s="181"/>
      <c r="I440" s="590"/>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c r="JD440" s="32"/>
      <c r="JE440" s="32"/>
      <c r="JF440" s="32"/>
      <c r="JG440" s="32"/>
      <c r="JH440" s="32"/>
      <c r="JI440" s="32"/>
      <c r="JJ440" s="32"/>
      <c r="JK440" s="32"/>
      <c r="JL440" s="32"/>
      <c r="JM440" s="32"/>
      <c r="JN440" s="32"/>
      <c r="JO440" s="32"/>
      <c r="JP440" s="32"/>
      <c r="JQ440" s="32"/>
      <c r="JR440" s="32"/>
      <c r="JS440" s="32"/>
      <c r="JT440" s="32"/>
      <c r="JU440" s="32"/>
      <c r="JV440" s="32"/>
      <c r="JW440" s="32"/>
      <c r="JX440" s="32"/>
      <c r="JY440" s="32"/>
      <c r="JZ440" s="32"/>
      <c r="KA440" s="32"/>
      <c r="KB440" s="32"/>
      <c r="KC440" s="32"/>
      <c r="KD440" s="32"/>
      <c r="KE440" s="32"/>
      <c r="KF440" s="32"/>
      <c r="KG440" s="32"/>
      <c r="KH440" s="32"/>
      <c r="KI440" s="32"/>
      <c r="KJ440" s="32"/>
      <c r="KK440" s="32"/>
      <c r="KL440" s="32"/>
      <c r="KM440" s="32"/>
      <c r="KN440" s="32"/>
      <c r="KO440" s="32"/>
      <c r="KP440" s="32"/>
      <c r="KQ440" s="32"/>
      <c r="KR440" s="32"/>
      <c r="KS440" s="32"/>
      <c r="KT440" s="32"/>
      <c r="KU440" s="32"/>
      <c r="KV440" s="32"/>
      <c r="KW440" s="32"/>
      <c r="KX440" s="32"/>
      <c r="KY440" s="32"/>
      <c r="KZ440" s="32"/>
      <c r="LA440" s="32"/>
      <c r="LB440" s="32"/>
      <c r="LC440" s="32"/>
      <c r="LD440" s="32"/>
      <c r="LE440" s="32"/>
      <c r="LF440" s="32"/>
      <c r="LG440" s="32"/>
      <c r="LH440" s="32"/>
      <c r="LI440" s="32"/>
      <c r="LJ440" s="32"/>
      <c r="LK440" s="32"/>
      <c r="LL440" s="32"/>
      <c r="LM440" s="32"/>
      <c r="LN440" s="32"/>
      <c r="LO440" s="32"/>
      <c r="LP440" s="32"/>
      <c r="LQ440" s="32"/>
      <c r="LR440" s="32"/>
      <c r="LS440" s="32"/>
      <c r="LT440" s="32"/>
      <c r="LU440" s="32"/>
      <c r="LV440" s="32"/>
      <c r="LW440" s="32"/>
      <c r="LX440" s="32"/>
      <c r="LY440" s="32"/>
      <c r="LZ440" s="32"/>
      <c r="MA440" s="32"/>
      <c r="MB440" s="32"/>
      <c r="MC440" s="32"/>
      <c r="MD440" s="32"/>
      <c r="ME440" s="32"/>
      <c r="MF440" s="32"/>
      <c r="MG440" s="32"/>
      <c r="MH440" s="32"/>
      <c r="MI440" s="32"/>
      <c r="MJ440" s="32"/>
      <c r="MK440" s="32"/>
      <c r="ML440" s="32"/>
      <c r="MM440" s="32"/>
      <c r="MN440" s="32"/>
      <c r="MO440" s="32"/>
      <c r="MP440" s="32"/>
      <c r="MQ440" s="32"/>
      <c r="MR440" s="32"/>
      <c r="MS440" s="32"/>
      <c r="MT440" s="32"/>
      <c r="MU440" s="32"/>
      <c r="MV440" s="32"/>
      <c r="MW440" s="32"/>
      <c r="MX440" s="32"/>
      <c r="MY440" s="32"/>
      <c r="MZ440" s="32"/>
      <c r="NA440" s="32"/>
      <c r="NB440" s="32"/>
      <c r="NC440" s="32"/>
      <c r="ND440" s="32"/>
      <c r="NE440" s="32"/>
      <c r="NF440" s="32"/>
      <c r="NG440" s="32"/>
      <c r="NH440" s="32"/>
      <c r="NI440" s="32"/>
      <c r="NJ440" s="32"/>
      <c r="NK440" s="32"/>
      <c r="NL440" s="32"/>
      <c r="NM440" s="32"/>
      <c r="NN440" s="32"/>
      <c r="NO440" s="32"/>
      <c r="NP440" s="32"/>
      <c r="NQ440" s="32"/>
      <c r="NR440" s="32"/>
      <c r="NS440" s="32"/>
      <c r="NT440" s="32"/>
      <c r="NU440" s="32"/>
      <c r="NV440" s="32"/>
      <c r="NW440" s="32"/>
      <c r="NX440" s="32"/>
      <c r="NY440" s="32"/>
      <c r="NZ440" s="32"/>
      <c r="OA440" s="32"/>
      <c r="OB440" s="32"/>
      <c r="OC440" s="32"/>
      <c r="OD440" s="32"/>
      <c r="OE440" s="32"/>
      <c r="OF440" s="32"/>
      <c r="OG440" s="32"/>
      <c r="OH440" s="32"/>
      <c r="OI440" s="32"/>
      <c r="OJ440" s="32"/>
      <c r="OK440" s="32"/>
      <c r="OL440" s="32"/>
      <c r="OM440" s="32"/>
      <c r="ON440" s="32"/>
      <c r="OO440" s="32"/>
      <c r="OP440" s="32"/>
      <c r="OQ440" s="32"/>
      <c r="OR440" s="32"/>
      <c r="OS440" s="32"/>
      <c r="OT440" s="32"/>
      <c r="OU440" s="32"/>
      <c r="OV440" s="32"/>
      <c r="OW440" s="32"/>
      <c r="OX440" s="32"/>
      <c r="OY440" s="32"/>
      <c r="OZ440" s="32"/>
      <c r="PA440" s="32"/>
      <c r="PB440" s="32"/>
      <c r="PC440" s="32"/>
      <c r="PD440" s="32"/>
      <c r="PE440" s="32"/>
      <c r="PF440" s="32"/>
      <c r="PG440" s="32"/>
      <c r="PH440" s="32"/>
      <c r="PI440" s="32"/>
      <c r="PJ440" s="32"/>
      <c r="PK440" s="32"/>
      <c r="PL440" s="32"/>
      <c r="PM440" s="32"/>
      <c r="PN440" s="32"/>
      <c r="PO440" s="32"/>
      <c r="PP440" s="32"/>
      <c r="PQ440" s="32"/>
      <c r="PR440" s="32"/>
      <c r="PS440" s="32"/>
      <c r="PT440" s="32"/>
      <c r="PU440" s="32"/>
      <c r="PV440" s="32"/>
      <c r="PW440" s="32"/>
      <c r="PX440" s="32"/>
      <c r="PY440" s="32"/>
      <c r="PZ440" s="32"/>
      <c r="QA440" s="32"/>
      <c r="QB440" s="32"/>
      <c r="QC440" s="32"/>
      <c r="QD440" s="32"/>
      <c r="QE440" s="32"/>
      <c r="QF440" s="32"/>
      <c r="QG440" s="32"/>
      <c r="QH440" s="32"/>
      <c r="QI440" s="32"/>
      <c r="QJ440" s="32"/>
      <c r="QK440" s="32"/>
      <c r="QL440" s="32"/>
      <c r="QM440" s="32"/>
      <c r="QN440" s="32"/>
      <c r="QO440" s="32"/>
      <c r="QP440" s="32"/>
      <c r="QQ440" s="32"/>
      <c r="QR440" s="32"/>
      <c r="QS440" s="32"/>
      <c r="QT440" s="32"/>
      <c r="QU440" s="32"/>
      <c r="QV440" s="32"/>
      <c r="QW440" s="32"/>
      <c r="QX440" s="32"/>
      <c r="QY440" s="32"/>
      <c r="QZ440" s="32"/>
      <c r="RA440" s="32"/>
      <c r="RB440" s="32"/>
      <c r="RC440" s="32"/>
      <c r="RD440" s="32"/>
      <c r="RE440" s="32"/>
      <c r="RF440" s="32"/>
      <c r="RG440" s="32"/>
      <c r="RH440" s="32"/>
      <c r="RI440" s="32"/>
      <c r="RJ440" s="32"/>
      <c r="RK440" s="32"/>
      <c r="RL440" s="32"/>
      <c r="RM440" s="32"/>
      <c r="RN440" s="32"/>
      <c r="RO440" s="32"/>
      <c r="RP440" s="32"/>
      <c r="RQ440" s="32"/>
      <c r="RR440" s="32"/>
      <c r="RS440" s="32"/>
      <c r="RT440" s="32"/>
      <c r="RU440" s="32"/>
      <c r="RV440" s="32"/>
      <c r="RW440" s="32"/>
      <c r="RX440" s="32"/>
      <c r="RY440" s="32"/>
      <c r="RZ440" s="32"/>
      <c r="SA440" s="32"/>
      <c r="SB440" s="32"/>
      <c r="SC440" s="32"/>
      <c r="SD440" s="32"/>
      <c r="SE440" s="32"/>
      <c r="SF440" s="32"/>
      <c r="SG440" s="32"/>
      <c r="SH440" s="32"/>
      <c r="SI440" s="32"/>
      <c r="SJ440" s="32"/>
      <c r="SK440" s="32"/>
      <c r="SL440" s="32"/>
      <c r="SM440" s="32"/>
      <c r="SN440" s="32"/>
      <c r="SO440" s="32"/>
      <c r="SP440" s="32"/>
      <c r="SQ440" s="32"/>
      <c r="SR440" s="32"/>
      <c r="SS440" s="32"/>
      <c r="ST440" s="32"/>
      <c r="SU440" s="32"/>
      <c r="SV440" s="32"/>
      <c r="SW440" s="32"/>
      <c r="SX440" s="32"/>
      <c r="SY440" s="32"/>
      <c r="SZ440" s="32"/>
      <c r="TA440" s="32"/>
      <c r="TB440" s="32"/>
      <c r="TC440" s="32"/>
      <c r="TD440" s="32"/>
      <c r="TE440" s="32"/>
      <c r="TF440" s="32"/>
      <c r="TG440" s="32"/>
      <c r="TH440" s="32"/>
      <c r="TI440" s="32"/>
      <c r="TJ440" s="32"/>
      <c r="TK440" s="32"/>
      <c r="TL440" s="32"/>
      <c r="TM440" s="32"/>
      <c r="TN440" s="32"/>
      <c r="TO440" s="32"/>
      <c r="TP440" s="32"/>
      <c r="TQ440" s="32"/>
      <c r="TR440" s="32"/>
      <c r="TS440" s="32"/>
      <c r="TT440" s="32"/>
      <c r="TU440" s="32"/>
      <c r="TV440" s="32"/>
      <c r="TW440" s="32"/>
      <c r="TX440" s="32"/>
      <c r="TY440" s="32"/>
      <c r="TZ440" s="32"/>
      <c r="UA440" s="32"/>
      <c r="UB440" s="32"/>
      <c r="UC440" s="32"/>
      <c r="UD440" s="32"/>
      <c r="UE440" s="32"/>
      <c r="UF440" s="32"/>
      <c r="UG440" s="32"/>
      <c r="UH440" s="32"/>
      <c r="UI440" s="32"/>
      <c r="UJ440" s="32"/>
      <c r="UK440" s="32"/>
      <c r="UL440" s="32"/>
      <c r="UM440" s="32"/>
      <c r="UN440" s="32"/>
      <c r="UO440" s="32"/>
      <c r="UP440" s="32"/>
      <c r="UQ440" s="32"/>
      <c r="UR440" s="32"/>
      <c r="US440" s="32"/>
      <c r="UT440" s="32"/>
      <c r="UU440" s="32"/>
      <c r="UV440" s="32"/>
      <c r="UW440" s="32"/>
      <c r="UX440" s="32"/>
      <c r="UY440" s="32"/>
      <c r="UZ440" s="32"/>
      <c r="VA440" s="32"/>
      <c r="VB440" s="32"/>
      <c r="VC440" s="32"/>
      <c r="VD440" s="32"/>
      <c r="VE440" s="32"/>
      <c r="VF440" s="32"/>
      <c r="VG440" s="32"/>
      <c r="VH440" s="32"/>
      <c r="VI440" s="32"/>
      <c r="VJ440" s="32"/>
      <c r="VK440" s="32"/>
      <c r="VL440" s="32"/>
      <c r="VM440" s="32"/>
      <c r="VN440" s="32"/>
      <c r="VO440" s="32"/>
      <c r="VP440" s="32"/>
      <c r="VQ440" s="32"/>
      <c r="VR440" s="32"/>
      <c r="VS440" s="32"/>
      <c r="VT440" s="32"/>
      <c r="VU440" s="32"/>
      <c r="VV440" s="32"/>
      <c r="VW440" s="32"/>
      <c r="VX440" s="32"/>
      <c r="VY440" s="32"/>
      <c r="VZ440" s="32"/>
      <c r="WA440" s="32"/>
      <c r="WB440" s="32"/>
      <c r="WC440" s="32"/>
      <c r="WD440" s="32"/>
      <c r="WE440" s="32"/>
      <c r="WF440" s="32"/>
      <c r="WG440" s="32"/>
      <c r="WH440" s="32"/>
      <c r="WI440" s="32"/>
      <c r="WJ440" s="32"/>
      <c r="WK440" s="32"/>
      <c r="WL440" s="32"/>
      <c r="WM440" s="32"/>
      <c r="WN440" s="32"/>
      <c r="WO440" s="32"/>
      <c r="WP440" s="32"/>
      <c r="WQ440" s="32"/>
      <c r="WR440" s="32"/>
      <c r="WS440" s="32"/>
      <c r="WT440" s="32"/>
      <c r="WU440" s="32"/>
      <c r="WV440" s="32"/>
      <c r="WW440" s="32"/>
      <c r="WX440" s="32"/>
      <c r="WY440" s="32"/>
      <c r="WZ440" s="32"/>
      <c r="XA440" s="32"/>
      <c r="XB440" s="32"/>
      <c r="XC440" s="32"/>
      <c r="XD440" s="32"/>
      <c r="XE440" s="32"/>
      <c r="XF440" s="32"/>
      <c r="XG440" s="32"/>
      <c r="XH440" s="32"/>
      <c r="XI440" s="32"/>
      <c r="XJ440" s="32"/>
      <c r="XK440" s="32"/>
      <c r="XL440" s="32"/>
      <c r="XM440" s="32"/>
      <c r="XN440" s="32"/>
      <c r="XO440" s="32"/>
      <c r="XP440" s="32"/>
      <c r="XQ440" s="32"/>
      <c r="XR440" s="32"/>
      <c r="XS440" s="32"/>
      <c r="XT440" s="32"/>
      <c r="XU440" s="32"/>
      <c r="XV440" s="32"/>
      <c r="XW440" s="32"/>
      <c r="XX440" s="32"/>
      <c r="XY440" s="32"/>
      <c r="XZ440" s="32"/>
      <c r="YA440" s="32"/>
      <c r="YB440" s="32"/>
      <c r="YC440" s="32"/>
      <c r="YD440" s="32"/>
      <c r="YE440" s="32"/>
      <c r="YF440" s="32"/>
      <c r="YG440" s="32"/>
      <c r="YH440" s="32"/>
      <c r="YI440" s="32"/>
      <c r="YJ440" s="32"/>
      <c r="YK440" s="32"/>
      <c r="YL440" s="32"/>
      <c r="YM440" s="32"/>
      <c r="YN440" s="32"/>
      <c r="YO440" s="32"/>
      <c r="YP440" s="32"/>
      <c r="YQ440" s="32"/>
      <c r="YR440" s="32"/>
      <c r="YS440" s="32"/>
      <c r="YT440" s="32"/>
      <c r="YU440" s="32"/>
      <c r="YV440" s="32"/>
      <c r="YW440" s="32"/>
      <c r="YX440" s="32"/>
      <c r="YY440" s="32"/>
      <c r="YZ440" s="32"/>
      <c r="ZA440" s="32"/>
      <c r="ZB440" s="32"/>
      <c r="ZC440" s="32"/>
      <c r="ZD440" s="32"/>
      <c r="ZE440" s="32"/>
      <c r="ZF440" s="32"/>
      <c r="ZG440" s="32"/>
      <c r="ZH440" s="32"/>
      <c r="ZI440" s="32"/>
      <c r="ZJ440" s="32"/>
      <c r="ZK440" s="32"/>
      <c r="ZL440" s="32"/>
      <c r="ZM440" s="32"/>
      <c r="ZN440" s="32"/>
      <c r="ZO440" s="32"/>
      <c r="ZP440" s="32"/>
      <c r="ZQ440" s="32"/>
      <c r="ZR440" s="32"/>
      <c r="ZS440" s="32"/>
      <c r="ZT440" s="32"/>
      <c r="ZU440" s="32"/>
      <c r="ZV440" s="32"/>
      <c r="ZW440" s="32"/>
      <c r="ZX440" s="32"/>
      <c r="ZY440" s="32"/>
      <c r="ZZ440" s="32"/>
      <c r="AAA440" s="590"/>
      <c r="AAD440" s="113"/>
      <c r="AAE440" s="553" t="s">
        <v>22</v>
      </c>
      <c r="AAF440" s="585" t="s">
        <v>199</v>
      </c>
      <c r="AAG440" s="63"/>
      <c r="AAH440" s="63"/>
      <c r="AAI440" s="77"/>
      <c r="AAJ440" s="57"/>
      <c r="AAK440" s="57"/>
      <c r="AAL440" s="57"/>
      <c r="AAM440" s="113"/>
      <c r="AAN440"/>
      <c r="AAT440" s="23"/>
      <c r="AAU440" s="44"/>
    </row>
    <row r="441" spans="1:732" ht="16.5" customHeight="1" outlineLevel="2">
      <c r="A441" s="560"/>
      <c r="B441" s="463" t="s">
        <v>186</v>
      </c>
      <c r="C441" s="697"/>
      <c r="D441" s="146"/>
      <c r="E441" s="147"/>
      <c r="F441" s="147"/>
      <c r="G441" s="162"/>
      <c r="H441" s="162"/>
      <c r="I441" s="590"/>
      <c r="J441" s="633"/>
      <c r="K441" s="632"/>
      <c r="L441" s="632"/>
      <c r="M441" s="632"/>
      <c r="N441" s="632"/>
      <c r="O441" s="632"/>
      <c r="P441" s="632"/>
      <c r="Q441" s="632"/>
      <c r="R441" s="632"/>
      <c r="S441" s="632"/>
      <c r="T441" s="632"/>
      <c r="U441" s="632"/>
      <c r="V441" s="632"/>
      <c r="W441" s="632"/>
      <c r="X441" s="632"/>
      <c r="Y441" s="632"/>
      <c r="Z441" s="632"/>
      <c r="AA441" s="632"/>
      <c r="AB441" s="632"/>
      <c r="AC441" s="632"/>
      <c r="AD441" s="632"/>
      <c r="AE441" s="632"/>
      <c r="AF441" s="632"/>
      <c r="AG441" s="632"/>
      <c r="AH441" s="632"/>
      <c r="AI441" s="632"/>
      <c r="AJ441" s="632"/>
      <c r="AK441" s="632"/>
      <c r="AL441" s="632"/>
      <c r="AM441" s="632"/>
      <c r="AN441" s="632"/>
      <c r="AO441" s="632"/>
      <c r="AP441" s="632"/>
      <c r="AQ441" s="632"/>
      <c r="AR441" s="632"/>
      <c r="AS441" s="632"/>
      <c r="AT441" s="632"/>
      <c r="AU441" s="632"/>
      <c r="AV441" s="632"/>
      <c r="AW441" s="632"/>
      <c r="AX441" s="632"/>
      <c r="AY441" s="632"/>
      <c r="AZ441" s="632"/>
      <c r="BA441" s="632"/>
      <c r="BB441" s="632"/>
      <c r="BC441" s="632"/>
      <c r="BD441" s="632"/>
      <c r="BE441" s="632"/>
      <c r="BF441" s="632"/>
      <c r="BG441" s="632"/>
      <c r="BH441" s="632"/>
      <c r="BI441" s="632"/>
      <c r="BJ441" s="632"/>
      <c r="BK441" s="632"/>
      <c r="BL441" s="632"/>
      <c r="BM441" s="632"/>
      <c r="BN441" s="632"/>
      <c r="BO441" s="632"/>
      <c r="BP441" s="632"/>
      <c r="BQ441" s="632"/>
      <c r="BR441" s="632"/>
      <c r="BS441" s="632"/>
      <c r="BT441" s="632"/>
      <c r="BU441" s="632"/>
      <c r="BV441" s="632"/>
      <c r="BW441" s="632"/>
      <c r="BX441" s="632"/>
      <c r="BY441" s="632"/>
      <c r="BZ441" s="632"/>
      <c r="CA441" s="632"/>
      <c r="CB441" s="632"/>
      <c r="CC441" s="632"/>
      <c r="CD441" s="632"/>
      <c r="CE441" s="632"/>
      <c r="CF441" s="632"/>
      <c r="CG441" s="632"/>
      <c r="CH441" s="632"/>
      <c r="CI441" s="632"/>
      <c r="CJ441" s="632"/>
      <c r="CK441" s="632"/>
      <c r="CL441" s="632"/>
      <c r="CM441" s="632"/>
      <c r="CN441" s="632"/>
      <c r="CO441" s="632"/>
      <c r="CP441" s="632"/>
      <c r="CQ441" s="632"/>
      <c r="CR441" s="632"/>
      <c r="CS441" s="632"/>
      <c r="CT441" s="632"/>
      <c r="CU441" s="632"/>
      <c r="CV441" s="632"/>
      <c r="CW441" s="632"/>
      <c r="CX441" s="632"/>
      <c r="CY441" s="632"/>
      <c r="CZ441" s="632"/>
      <c r="DA441" s="632"/>
      <c r="DB441" s="632"/>
      <c r="DC441" s="632"/>
      <c r="DD441" s="632"/>
      <c r="DE441" s="632"/>
      <c r="DF441" s="632"/>
      <c r="DG441" s="632"/>
      <c r="DH441" s="632"/>
      <c r="DI441" s="632"/>
      <c r="DJ441" s="632"/>
      <c r="DK441" s="632"/>
      <c r="DL441" s="632"/>
      <c r="DM441" s="632"/>
      <c r="DN441" s="632"/>
      <c r="DO441" s="632"/>
      <c r="DP441" s="632"/>
      <c r="DQ441" s="632"/>
      <c r="DR441" s="632"/>
      <c r="DS441" s="632"/>
      <c r="DT441" s="632"/>
      <c r="DU441" s="632"/>
      <c r="DV441" s="632"/>
      <c r="DW441" s="632"/>
      <c r="DX441" s="632"/>
      <c r="DY441" s="632"/>
      <c r="DZ441" s="632"/>
      <c r="EA441" s="632"/>
      <c r="EB441" s="632"/>
      <c r="EC441" s="632"/>
      <c r="ED441" s="632"/>
      <c r="EE441" s="632"/>
      <c r="EF441" s="632"/>
      <c r="EG441" s="632"/>
      <c r="EH441" s="632"/>
      <c r="EI441" s="632"/>
      <c r="EJ441" s="632"/>
      <c r="EK441" s="632"/>
      <c r="EL441" s="632"/>
      <c r="EM441" s="632"/>
      <c r="EN441" s="632"/>
      <c r="EO441" s="632"/>
      <c r="EP441" s="632"/>
      <c r="EQ441" s="632"/>
      <c r="ER441" s="632"/>
      <c r="ES441" s="632"/>
      <c r="ET441" s="632"/>
      <c r="EU441" s="632"/>
      <c r="EV441" s="632"/>
      <c r="EW441" s="632"/>
      <c r="EX441" s="632"/>
      <c r="EY441" s="632"/>
      <c r="EZ441" s="632"/>
      <c r="FA441" s="632"/>
      <c r="FB441" s="632"/>
      <c r="FC441" s="632"/>
      <c r="FD441" s="632"/>
      <c r="FE441" s="632"/>
      <c r="FF441" s="632"/>
      <c r="FG441" s="632"/>
      <c r="FH441" s="632"/>
      <c r="FI441" s="632"/>
      <c r="FJ441" s="632"/>
      <c r="FK441" s="632"/>
      <c r="FL441" s="632"/>
      <c r="FM441" s="632"/>
      <c r="FN441" s="632"/>
      <c r="FO441" s="632"/>
      <c r="FP441" s="632"/>
      <c r="FQ441" s="632"/>
      <c r="FR441" s="632"/>
      <c r="FS441" s="632"/>
      <c r="FT441" s="632"/>
      <c r="FU441" s="632"/>
      <c r="FV441" s="632"/>
      <c r="FW441" s="632"/>
      <c r="FX441" s="632"/>
      <c r="FY441" s="632"/>
      <c r="FZ441" s="632"/>
      <c r="GA441" s="632"/>
      <c r="GB441" s="632"/>
      <c r="GC441" s="632"/>
      <c r="GD441" s="632"/>
      <c r="GE441" s="632"/>
      <c r="GF441" s="632"/>
      <c r="GG441" s="632"/>
      <c r="GH441" s="632"/>
      <c r="GI441" s="632"/>
      <c r="GJ441" s="632"/>
      <c r="GK441" s="632"/>
      <c r="GL441" s="632"/>
      <c r="GM441" s="632"/>
      <c r="GN441" s="632"/>
      <c r="GO441" s="632"/>
      <c r="GP441" s="632"/>
      <c r="GQ441" s="632"/>
      <c r="GR441" s="632"/>
      <c r="GS441" s="632"/>
      <c r="GT441" s="632"/>
      <c r="GU441" s="632"/>
      <c r="GV441" s="632"/>
      <c r="GW441" s="632"/>
      <c r="GX441" s="632"/>
      <c r="GY441" s="632"/>
      <c r="GZ441" s="632"/>
      <c r="HA441" s="632"/>
      <c r="HB441" s="632"/>
      <c r="HC441" s="632"/>
      <c r="HD441" s="632"/>
      <c r="HE441" s="632"/>
      <c r="HF441" s="632"/>
      <c r="HG441" s="632"/>
      <c r="HH441" s="632"/>
      <c r="HI441" s="632"/>
      <c r="HJ441" s="632"/>
      <c r="HK441" s="632"/>
      <c r="HL441" s="632"/>
      <c r="HM441" s="632"/>
      <c r="HN441" s="632"/>
      <c r="HO441" s="632"/>
      <c r="HP441" s="632"/>
      <c r="HQ441" s="632"/>
      <c r="HR441" s="632"/>
      <c r="HS441" s="632"/>
      <c r="HT441" s="632"/>
      <c r="HU441" s="632"/>
      <c r="HV441" s="632"/>
      <c r="HW441" s="632"/>
      <c r="HX441" s="632"/>
      <c r="HY441" s="632"/>
      <c r="HZ441" s="632"/>
      <c r="IA441" s="632"/>
      <c r="IB441" s="632"/>
      <c r="IC441" s="632"/>
      <c r="ID441" s="632"/>
      <c r="IE441" s="632"/>
      <c r="IF441" s="632"/>
      <c r="IG441" s="632"/>
      <c r="IH441" s="632"/>
      <c r="II441" s="632"/>
      <c r="IJ441" s="632"/>
      <c r="IK441" s="632"/>
      <c r="IL441" s="632"/>
      <c r="IM441" s="632"/>
      <c r="IN441" s="632"/>
      <c r="IO441" s="632"/>
      <c r="IP441" s="632"/>
      <c r="IQ441" s="632"/>
      <c r="IR441" s="632"/>
      <c r="IS441" s="632"/>
      <c r="IT441" s="632"/>
      <c r="IU441" s="632"/>
      <c r="IV441" s="632"/>
      <c r="IW441" s="632"/>
      <c r="IX441" s="632"/>
      <c r="IY441" s="632"/>
      <c r="IZ441" s="632"/>
      <c r="JA441" s="632"/>
      <c r="JB441" s="632"/>
      <c r="JC441" s="632"/>
      <c r="JD441" s="632"/>
      <c r="JE441" s="632"/>
      <c r="JF441" s="632"/>
      <c r="JG441" s="632"/>
      <c r="JH441" s="632"/>
      <c r="JI441" s="632"/>
      <c r="JJ441" s="632"/>
      <c r="JK441" s="632"/>
      <c r="JL441" s="632"/>
      <c r="JM441" s="632"/>
      <c r="JN441" s="632"/>
      <c r="JO441" s="632"/>
      <c r="JP441" s="632"/>
      <c r="JQ441" s="632"/>
      <c r="JR441" s="632"/>
      <c r="JS441" s="632"/>
      <c r="JT441" s="632"/>
      <c r="JU441" s="632"/>
      <c r="JV441" s="632"/>
      <c r="JW441" s="632"/>
      <c r="JX441" s="632"/>
      <c r="JY441" s="632"/>
      <c r="JZ441" s="632"/>
      <c r="KA441" s="632"/>
      <c r="KB441" s="632"/>
      <c r="KC441" s="632"/>
      <c r="KD441" s="632"/>
      <c r="KE441" s="632"/>
      <c r="KF441" s="632"/>
      <c r="KG441" s="632"/>
      <c r="KH441" s="632"/>
      <c r="KI441" s="632"/>
      <c r="KJ441" s="632"/>
      <c r="KK441" s="632"/>
      <c r="KL441" s="632"/>
      <c r="KM441" s="632"/>
      <c r="KN441" s="632"/>
      <c r="KO441" s="632"/>
      <c r="KP441" s="632"/>
      <c r="KQ441" s="632"/>
      <c r="KR441" s="632"/>
      <c r="KS441" s="632"/>
      <c r="KT441" s="632"/>
      <c r="KU441" s="632"/>
      <c r="KV441" s="632"/>
      <c r="KW441" s="632"/>
      <c r="KX441" s="632"/>
      <c r="KY441" s="632"/>
      <c r="KZ441" s="632"/>
      <c r="LA441" s="632"/>
      <c r="LB441" s="632"/>
      <c r="LC441" s="632"/>
      <c r="LD441" s="632"/>
      <c r="LE441" s="632"/>
      <c r="LF441" s="632"/>
      <c r="LG441" s="632"/>
      <c r="LH441" s="632"/>
      <c r="LI441" s="632"/>
      <c r="LJ441" s="632"/>
      <c r="LK441" s="632"/>
      <c r="LL441" s="632"/>
      <c r="LM441" s="632"/>
      <c r="LN441" s="632"/>
      <c r="LO441" s="632"/>
      <c r="LP441" s="632"/>
      <c r="LQ441" s="632"/>
      <c r="LR441" s="632"/>
      <c r="LS441" s="632"/>
      <c r="LT441" s="632"/>
      <c r="LU441" s="632"/>
      <c r="LV441" s="632"/>
      <c r="LW441" s="632"/>
      <c r="LX441" s="632"/>
      <c r="LY441" s="632"/>
      <c r="LZ441" s="632"/>
      <c r="MA441" s="632"/>
      <c r="MB441" s="632"/>
      <c r="MC441" s="632"/>
      <c r="MD441" s="632"/>
      <c r="ME441" s="632"/>
      <c r="MF441" s="632"/>
      <c r="MG441" s="632"/>
      <c r="MH441" s="632"/>
      <c r="MI441" s="632"/>
      <c r="MJ441" s="632"/>
      <c r="MK441" s="632"/>
      <c r="ML441" s="632"/>
      <c r="MM441" s="632"/>
      <c r="MN441" s="632"/>
      <c r="MO441" s="632"/>
      <c r="MP441" s="632"/>
      <c r="MQ441" s="632"/>
      <c r="MR441" s="632"/>
      <c r="MS441" s="632"/>
      <c r="MT441" s="632"/>
      <c r="MU441" s="632"/>
      <c r="MV441" s="632"/>
      <c r="MW441" s="632"/>
      <c r="MX441" s="632"/>
      <c r="MY441" s="632"/>
      <c r="MZ441" s="632"/>
      <c r="NA441" s="632"/>
      <c r="NB441" s="632"/>
      <c r="NC441" s="632"/>
      <c r="ND441" s="632"/>
      <c r="NE441" s="632"/>
      <c r="NF441" s="632"/>
      <c r="NG441" s="632"/>
      <c r="NH441" s="632"/>
      <c r="NI441" s="632"/>
      <c r="NJ441" s="632"/>
      <c r="NK441" s="632"/>
      <c r="NL441" s="632"/>
      <c r="NM441" s="632"/>
      <c r="NN441" s="632"/>
      <c r="NO441" s="632"/>
      <c r="NP441" s="632"/>
      <c r="NQ441" s="632"/>
      <c r="NR441" s="632"/>
      <c r="NS441" s="632"/>
      <c r="NT441" s="632"/>
      <c r="NU441" s="632"/>
      <c r="NV441" s="632"/>
      <c r="NW441" s="632"/>
      <c r="NX441" s="632"/>
      <c r="NY441" s="632"/>
      <c r="NZ441" s="632"/>
      <c r="OA441" s="632"/>
      <c r="OB441" s="632"/>
      <c r="OC441" s="632"/>
      <c r="OD441" s="632"/>
      <c r="OE441" s="632"/>
      <c r="OF441" s="632"/>
      <c r="OG441" s="632"/>
      <c r="OH441" s="632"/>
      <c r="OI441" s="632"/>
      <c r="OJ441" s="632"/>
      <c r="OK441" s="632"/>
      <c r="OL441" s="632"/>
      <c r="OM441" s="632"/>
      <c r="ON441" s="632"/>
      <c r="OO441" s="632"/>
      <c r="OP441" s="632"/>
      <c r="OQ441" s="632"/>
      <c r="OR441" s="632"/>
      <c r="OS441" s="632"/>
      <c r="OT441" s="632"/>
      <c r="OU441" s="632"/>
      <c r="OV441" s="632"/>
      <c r="OW441" s="632"/>
      <c r="OX441" s="632"/>
      <c r="OY441" s="632"/>
      <c r="OZ441" s="632"/>
      <c r="PA441" s="632"/>
      <c r="PB441" s="632"/>
      <c r="PC441" s="632"/>
      <c r="PD441" s="632"/>
      <c r="PE441" s="632"/>
      <c r="PF441" s="632"/>
      <c r="PG441" s="632"/>
      <c r="PH441" s="632"/>
      <c r="PI441" s="632"/>
      <c r="PJ441" s="632"/>
      <c r="PK441" s="632"/>
      <c r="PL441" s="632"/>
      <c r="PM441" s="632"/>
      <c r="PN441" s="632"/>
      <c r="PO441" s="632"/>
      <c r="PP441" s="632"/>
      <c r="PQ441" s="632"/>
      <c r="PR441" s="632"/>
      <c r="PS441" s="632"/>
      <c r="PT441" s="632"/>
      <c r="PU441" s="632"/>
      <c r="PV441" s="632"/>
      <c r="PW441" s="632"/>
      <c r="PX441" s="632"/>
      <c r="PY441" s="632"/>
      <c r="PZ441" s="632"/>
      <c r="QA441" s="632"/>
      <c r="QB441" s="632"/>
      <c r="QC441" s="632"/>
      <c r="QD441" s="632"/>
      <c r="QE441" s="632"/>
      <c r="QF441" s="632"/>
      <c r="QG441" s="632"/>
      <c r="QH441" s="632"/>
      <c r="QI441" s="632"/>
      <c r="QJ441" s="632"/>
      <c r="QK441" s="632"/>
      <c r="QL441" s="632"/>
      <c r="QM441" s="632"/>
      <c r="QN441" s="632"/>
      <c r="QO441" s="632"/>
      <c r="QP441" s="632"/>
      <c r="QQ441" s="632"/>
      <c r="QR441" s="632"/>
      <c r="QS441" s="632"/>
      <c r="QT441" s="632"/>
      <c r="QU441" s="632"/>
      <c r="QV441" s="632"/>
      <c r="QW441" s="632"/>
      <c r="QX441" s="632"/>
      <c r="QY441" s="632"/>
      <c r="QZ441" s="632"/>
      <c r="RA441" s="632"/>
      <c r="RB441" s="632"/>
      <c r="RC441" s="632"/>
      <c r="RD441" s="632"/>
      <c r="RE441" s="632"/>
      <c r="RF441" s="632"/>
      <c r="RG441" s="632"/>
      <c r="RH441" s="632"/>
      <c r="RI441" s="632"/>
      <c r="RJ441" s="632"/>
      <c r="RK441" s="632"/>
      <c r="RL441" s="632"/>
      <c r="RM441" s="632"/>
      <c r="RN441" s="632"/>
      <c r="RO441" s="632"/>
      <c r="RP441" s="632"/>
      <c r="RQ441" s="632"/>
      <c r="RR441" s="632"/>
      <c r="RS441" s="632"/>
      <c r="RT441" s="632"/>
      <c r="RU441" s="632"/>
      <c r="RV441" s="632"/>
      <c r="RW441" s="632"/>
      <c r="RX441" s="632"/>
      <c r="RY441" s="632"/>
      <c r="RZ441" s="632"/>
      <c r="SA441" s="632"/>
      <c r="SB441" s="632"/>
      <c r="SC441" s="632"/>
      <c r="SD441" s="632"/>
      <c r="SE441" s="632"/>
      <c r="SF441" s="632"/>
      <c r="SG441" s="632"/>
      <c r="SH441" s="632"/>
      <c r="SI441" s="632"/>
      <c r="SJ441" s="632"/>
      <c r="SK441" s="632"/>
      <c r="SL441" s="632"/>
      <c r="SM441" s="632"/>
      <c r="SN441" s="632"/>
      <c r="SO441" s="632"/>
      <c r="SP441" s="632"/>
      <c r="SQ441" s="632"/>
      <c r="SR441" s="632"/>
      <c r="SS441" s="632"/>
      <c r="ST441" s="632"/>
      <c r="SU441" s="632"/>
      <c r="SV441" s="632"/>
      <c r="SW441" s="632"/>
      <c r="SX441" s="632"/>
      <c r="SY441" s="632"/>
      <c r="SZ441" s="632"/>
      <c r="TA441" s="632"/>
      <c r="TB441" s="632"/>
      <c r="TC441" s="632"/>
      <c r="TD441" s="632"/>
      <c r="TE441" s="632"/>
      <c r="TF441" s="632"/>
      <c r="TG441" s="632"/>
      <c r="TH441" s="632"/>
      <c r="TI441" s="632"/>
      <c r="TJ441" s="632"/>
      <c r="TK441" s="632"/>
      <c r="TL441" s="632"/>
      <c r="TM441" s="632"/>
      <c r="TN441" s="632"/>
      <c r="TO441" s="632"/>
      <c r="TP441" s="632"/>
      <c r="TQ441" s="632"/>
      <c r="TR441" s="632"/>
      <c r="TS441" s="632"/>
      <c r="TT441" s="632"/>
      <c r="TU441" s="632"/>
      <c r="TV441" s="632"/>
      <c r="TW441" s="632"/>
      <c r="TX441" s="632"/>
      <c r="TY441" s="632"/>
      <c r="TZ441" s="632"/>
      <c r="UA441" s="632"/>
      <c r="UB441" s="632"/>
      <c r="UC441" s="632"/>
      <c r="UD441" s="632"/>
      <c r="UE441" s="632"/>
      <c r="UF441" s="632"/>
      <c r="UG441" s="632"/>
      <c r="UH441" s="632"/>
      <c r="UI441" s="632"/>
      <c r="UJ441" s="632"/>
      <c r="UK441" s="632"/>
      <c r="UL441" s="632"/>
      <c r="UM441" s="632"/>
      <c r="UN441" s="632"/>
      <c r="UO441" s="632"/>
      <c r="UP441" s="632"/>
      <c r="UQ441" s="632"/>
      <c r="UR441" s="632"/>
      <c r="US441" s="632"/>
      <c r="UT441" s="632"/>
      <c r="UU441" s="632"/>
      <c r="UV441" s="632"/>
      <c r="UW441" s="632"/>
      <c r="UX441" s="632"/>
      <c r="UY441" s="632"/>
      <c r="UZ441" s="632"/>
      <c r="VA441" s="632"/>
      <c r="VB441" s="632"/>
      <c r="VC441" s="632"/>
      <c r="VD441" s="632"/>
      <c r="VE441" s="632"/>
      <c r="VF441" s="632"/>
      <c r="VG441" s="632"/>
      <c r="VH441" s="632"/>
      <c r="VI441" s="632"/>
      <c r="VJ441" s="632"/>
      <c r="VK441" s="632"/>
      <c r="VL441" s="632"/>
      <c r="VM441" s="632"/>
      <c r="VN441" s="632"/>
      <c r="VO441" s="632"/>
      <c r="VP441" s="632"/>
      <c r="VQ441" s="632"/>
      <c r="VR441" s="632"/>
      <c r="VS441" s="632"/>
      <c r="VT441" s="632"/>
      <c r="VU441" s="632"/>
      <c r="VV441" s="632"/>
      <c r="VW441" s="632"/>
      <c r="VX441" s="632"/>
      <c r="VY441" s="632"/>
      <c r="VZ441" s="632"/>
      <c r="WA441" s="632"/>
      <c r="WB441" s="632"/>
      <c r="WC441" s="632"/>
      <c r="WD441" s="632"/>
      <c r="WE441" s="632"/>
      <c r="WF441" s="632"/>
      <c r="WG441" s="632"/>
      <c r="WH441" s="632"/>
      <c r="WI441" s="632"/>
      <c r="WJ441" s="632"/>
      <c r="WK441" s="632"/>
      <c r="WL441" s="632"/>
      <c r="WM441" s="632"/>
      <c r="WN441" s="632"/>
      <c r="WO441" s="632"/>
      <c r="WP441" s="632"/>
      <c r="WQ441" s="632"/>
      <c r="WR441" s="632"/>
      <c r="WS441" s="632"/>
      <c r="WT441" s="632"/>
      <c r="WU441" s="632"/>
      <c r="WV441" s="632"/>
      <c r="WW441" s="632"/>
      <c r="WX441" s="632"/>
      <c r="WY441" s="632"/>
      <c r="WZ441" s="632"/>
      <c r="XA441" s="632"/>
      <c r="XB441" s="632"/>
      <c r="XC441" s="632"/>
      <c r="XD441" s="632"/>
      <c r="XE441" s="632"/>
      <c r="XF441" s="632"/>
      <c r="XG441" s="632"/>
      <c r="XH441" s="632"/>
      <c r="XI441" s="632"/>
      <c r="XJ441" s="632"/>
      <c r="XK441" s="632"/>
      <c r="XL441" s="632"/>
      <c r="XM441" s="632"/>
      <c r="XN441" s="632"/>
      <c r="XO441" s="632"/>
      <c r="XP441" s="632"/>
      <c r="XQ441" s="632"/>
      <c r="XR441" s="632"/>
      <c r="XS441" s="632"/>
      <c r="XT441" s="632"/>
      <c r="XU441" s="632"/>
      <c r="XV441" s="632"/>
      <c r="XW441" s="632"/>
      <c r="XX441" s="632"/>
      <c r="XY441" s="632"/>
      <c r="XZ441" s="632"/>
      <c r="YA441" s="632"/>
      <c r="YB441" s="632"/>
      <c r="YC441" s="632"/>
      <c r="YD441" s="632"/>
      <c r="YE441" s="632"/>
      <c r="YF441" s="632"/>
      <c r="YG441" s="632"/>
      <c r="YH441" s="632"/>
      <c r="YI441" s="632"/>
      <c r="YJ441" s="632"/>
      <c r="YK441" s="632"/>
      <c r="YL441" s="632"/>
      <c r="YM441" s="632"/>
      <c r="YN441" s="632"/>
      <c r="YO441" s="632"/>
      <c r="YP441" s="632"/>
      <c r="YQ441" s="632"/>
      <c r="YR441" s="632"/>
      <c r="YS441" s="632"/>
      <c r="YT441" s="632"/>
      <c r="YU441" s="632"/>
      <c r="YV441" s="632"/>
      <c r="YW441" s="632"/>
      <c r="YX441" s="632"/>
      <c r="YY441" s="632"/>
      <c r="YZ441" s="632"/>
      <c r="ZA441" s="632"/>
      <c r="ZB441" s="632"/>
      <c r="ZC441" s="632"/>
      <c r="ZD441" s="632"/>
      <c r="ZE441" s="632"/>
      <c r="ZF441" s="632"/>
      <c r="ZG441" s="632"/>
      <c r="ZH441" s="632"/>
      <c r="ZI441" s="632"/>
      <c r="ZJ441" s="632"/>
      <c r="ZK441" s="632"/>
      <c r="ZL441" s="632"/>
      <c r="ZM441" s="632"/>
      <c r="ZN441" s="632"/>
      <c r="ZO441" s="632"/>
      <c r="ZP441" s="632"/>
      <c r="ZQ441" s="632"/>
      <c r="ZR441" s="632"/>
      <c r="ZS441" s="632"/>
      <c r="ZT441" s="632"/>
      <c r="ZU441" s="632"/>
      <c r="ZV441" s="632"/>
      <c r="ZW441" s="632"/>
      <c r="ZX441" s="632"/>
      <c r="ZY441" s="645"/>
      <c r="ZZ441" s="32"/>
      <c r="AAA441" s="590"/>
      <c r="AAD441" s="113"/>
      <c r="AAE441" s="553">
        <v>0</v>
      </c>
      <c r="AAF441" s="585" t="s">
        <v>199</v>
      </c>
      <c r="AAG441" s="63"/>
      <c r="AAH441" s="63"/>
      <c r="AAI441" s="77"/>
      <c r="AAJ441" s="57"/>
      <c r="AAK441" s="57"/>
      <c r="AAL441" s="57"/>
      <c r="AAM441" s="113"/>
      <c r="AAN441"/>
      <c r="AAT441" s="23"/>
      <c r="AAU441" s="44"/>
    </row>
    <row r="442" spans="1:732" ht="15.75" customHeight="1" outlineLevel="2">
      <c r="A442" s="560"/>
      <c r="B442" s="416" t="s">
        <v>136</v>
      </c>
      <c r="C442" s="735"/>
      <c r="D442" s="278" t="s">
        <v>163</v>
      </c>
      <c r="E442" s="369">
        <f t="shared" ref="E442:E457" si="998">NETWORKDAYS(G442,H442,S.DDL_DEQClosed)</f>
        <v>1</v>
      </c>
      <c r="F442" s="373">
        <f t="shared" ref="F442:F457" ca="1" si="999">NETWORKDAYS(TODAY(),H442)</f>
        <v>131</v>
      </c>
      <c r="G442" s="472">
        <f>AAG442</f>
        <v>41563</v>
      </c>
      <c r="H442" s="370">
        <f>AAH442</f>
        <v>41563</v>
      </c>
      <c r="I442" s="629"/>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590"/>
      <c r="AAD442" s="113"/>
      <c r="AAE442" s="553">
        <v>1</v>
      </c>
      <c r="AAF442" s="113"/>
      <c r="AAG442" s="78">
        <f>S.EQCMeeting</f>
        <v>41563</v>
      </c>
      <c r="AAH442" s="78">
        <f>G442</f>
        <v>41563</v>
      </c>
      <c r="AAI442" s="77"/>
      <c r="AAJ442" s="57" t="s">
        <v>0</v>
      </c>
      <c r="AAK442" s="57"/>
      <c r="AAL442" s="57"/>
      <c r="AAM442" s="113"/>
      <c r="AAN442"/>
      <c r="AAT442" s="23"/>
      <c r="AAU442" s="44"/>
    </row>
    <row r="443" spans="1:732" ht="15.75" customHeight="1" outlineLevel="2">
      <c r="A443" s="560"/>
      <c r="B443" s="468" t="str">
        <f>"EQC.RULES."&amp;TEXT(S.EQCMeeting,"m.d.yyyy")</f>
        <v>EQC.RULES.10.16.2013</v>
      </c>
      <c r="C443" s="730"/>
      <c r="D443" s="175"/>
      <c r="E443" s="401"/>
      <c r="F443" s="401"/>
      <c r="G443" s="470"/>
      <c r="H443" s="470"/>
      <c r="I443" s="590"/>
      <c r="J443" s="594"/>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20"/>
      <c r="ZZ443" s="36"/>
      <c r="AAA443" s="590"/>
      <c r="AAD443" s="113"/>
      <c r="AAE443" s="553">
        <v>1</v>
      </c>
      <c r="AAF443" s="585" t="s">
        <v>199</v>
      </c>
      <c r="AAG443" s="76"/>
      <c r="AAH443" s="76"/>
      <c r="AAI443" s="77"/>
      <c r="AAJ443" s="77"/>
      <c r="AAK443" s="77"/>
      <c r="AAL443" s="89" t="str">
        <f>S.CodeName&amp;"EQC.RULES."&amp;TEXT(S.EQCMeeting,"m.d.yyyy")</f>
        <v>EQC.RULES.10.16.2013</v>
      </c>
      <c r="AAM443" s="113"/>
      <c r="AAN443"/>
      <c r="AAT443" s="23"/>
      <c r="AAU443" s="44"/>
    </row>
    <row r="444" spans="1:732" ht="15.75" customHeight="1" outlineLevel="2">
      <c r="A444" s="560"/>
      <c r="B444" s="468" t="str">
        <f>AAL444</f>
        <v>EQC.REDLINE.10.16.2013</v>
      </c>
      <c r="C444" s="730"/>
      <c r="D444" s="175"/>
      <c r="E444" s="401"/>
      <c r="F444" s="401"/>
      <c r="G444" s="470"/>
      <c r="H444" s="470"/>
      <c r="I444" s="590"/>
      <c r="J444" s="594"/>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20"/>
      <c r="ZZ444" s="36"/>
      <c r="AAA444" s="590"/>
      <c r="AAD444" s="113"/>
      <c r="AAE444" s="553">
        <v>1</v>
      </c>
      <c r="AAF444" s="585" t="s">
        <v>199</v>
      </c>
      <c r="AAG444" s="76"/>
      <c r="AAH444" s="76"/>
      <c r="AAI444" s="77"/>
      <c r="AAJ444" s="77"/>
      <c r="AAK444" s="77"/>
      <c r="AAL444" s="89" t="str">
        <f>S.CodeName&amp;"EQC.REDLINE."&amp;TEXT(S.EQCMeeting,"m.d.yyyy")</f>
        <v>EQC.REDLINE.10.16.2013</v>
      </c>
      <c r="AAM444" s="113"/>
      <c r="AAN444"/>
      <c r="AAT444" s="23"/>
      <c r="AAU444" s="44"/>
    </row>
    <row r="445" spans="1:732" ht="15.75" customHeight="1" outlineLevel="2">
      <c r="A445" s="560"/>
      <c r="B445" s="468" t="s">
        <v>370</v>
      </c>
      <c r="C445" s="730"/>
      <c r="D445" s="175"/>
      <c r="E445" s="401"/>
      <c r="F445" s="401"/>
      <c r="G445" s="470"/>
      <c r="H445" s="470"/>
      <c r="I445" s="590"/>
      <c r="J445" s="594"/>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20"/>
      <c r="ZZ445" s="36"/>
      <c r="AAA445" s="590"/>
      <c r="AAD445" s="113"/>
      <c r="AAE445" s="553">
        <v>1</v>
      </c>
      <c r="AAF445" s="585" t="s">
        <v>199</v>
      </c>
      <c r="AAG445" s="76"/>
      <c r="AAH445" s="76"/>
      <c r="AAI445" s="77"/>
      <c r="AAJ445" s="77"/>
      <c r="AAK445" s="77"/>
      <c r="AAL445" s="89" t="str">
        <f>S.CodeName&amp; "340-###-###.TABLE##-##"</f>
        <v>340-###-###.TABLE##-##</v>
      </c>
      <c r="AAM445" s="113"/>
      <c r="AAN445"/>
      <c r="AAT445" s="23"/>
      <c r="AAU445" s="44"/>
      <c r="AAV445" s="23"/>
      <c r="AAW445" s="23"/>
      <c r="AAX445" s="23"/>
      <c r="AAY445" s="23"/>
      <c r="AAZ445" s="23"/>
      <c r="ABA445" s="23"/>
      <c r="ABB445" s="23"/>
      <c r="ABC445" s="23"/>
      <c r="ABD445" s="23"/>
    </row>
    <row r="446" spans="1:732" ht="15.75" customHeight="1" outlineLevel="2">
      <c r="A446" s="560"/>
      <c r="B446" s="468" t="s">
        <v>371</v>
      </c>
      <c r="C446" s="730"/>
      <c r="D446" s="175"/>
      <c r="E446" s="401"/>
      <c r="F446" s="401" t="s">
        <v>0</v>
      </c>
      <c r="G446" s="470"/>
      <c r="H446" s="470"/>
      <c r="I446" s="590"/>
      <c r="J446" s="594"/>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20"/>
      <c r="ZZ446" s="36"/>
      <c r="AAA446" s="590"/>
      <c r="AAD446" s="113"/>
      <c r="AAE446" s="553">
        <v>1</v>
      </c>
      <c r="AAF446" s="585" t="s">
        <v>199</v>
      </c>
      <c r="AAG446" s="76"/>
      <c r="AAH446" s="76"/>
      <c r="AAI446" s="77"/>
      <c r="AAJ446" s="77"/>
      <c r="AAK446" s="77"/>
      <c r="AAL446" s="89" t="str">
        <f>S.CodeName&amp; "EQC.ACTION"</f>
        <v>EQC.ACTION</v>
      </c>
      <c r="AAM446" s="113"/>
      <c r="AAN446"/>
      <c r="AAT446" s="23"/>
      <c r="AAU446" s="44"/>
      <c r="AAV446" s="23"/>
      <c r="AAW446" s="23"/>
      <c r="AAX446" s="23"/>
      <c r="AAY446" s="23"/>
      <c r="AAZ446" s="23"/>
      <c r="ABA446" s="23"/>
      <c r="ABB446" s="23"/>
      <c r="ABC446" s="23"/>
      <c r="ABD446" s="23"/>
    </row>
    <row r="447" spans="1:732" s="23" customFormat="1" ht="18" customHeight="1" outlineLevel="2">
      <c r="A447" s="560"/>
      <c r="B447" s="536" t="str">
        <f>AAL447</f>
        <v>DAS fee approval - Part 2</v>
      </c>
      <c r="C447" s="194"/>
      <c r="D447" s="278" t="s">
        <v>164</v>
      </c>
      <c r="E447" s="369">
        <f t="shared" ref="E447" si="1000">NETWORKDAYS(G447,H447,S.DDL_DEQClosed)</f>
        <v>8</v>
      </c>
      <c r="F447" s="373">
        <f ca="1">NETWORKDAYS(TODAY(),H447)</f>
        <v>33</v>
      </c>
      <c r="G447" s="370">
        <f>AAG447</f>
        <v>41414</v>
      </c>
      <c r="H447" s="370">
        <f>AAH447</f>
        <v>41425</v>
      </c>
      <c r="I447" s="629"/>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50"/>
      <c r="ZZ447" s="50"/>
      <c r="AAA447" s="590"/>
      <c r="AAB447"/>
      <c r="AAC447"/>
      <c r="AAD447" s="113"/>
      <c r="AAE447" s="553">
        <f>IF(AND(S.InvolveFee=TRUE,S.DASApprovalRequired=TRUE),1,0)</f>
        <v>1</v>
      </c>
      <c r="AAF447" s="113" t="s">
        <v>0</v>
      </c>
      <c r="AAG447" s="78">
        <f>S.BANNER.FeeStart</f>
        <v>41414</v>
      </c>
      <c r="AAH447" s="78">
        <f>WORKDAY(S.SubmitNoticeToSOS+1,-31,S.DDL_DEQClosed)</f>
        <v>41425</v>
      </c>
      <c r="AAI447" s="77"/>
      <c r="AAJ447" s="77"/>
      <c r="AAK447" s="77"/>
      <c r="AAL447" s="89" t="str">
        <f>IF(S.DASApprovalRequired=TRUE,"DAS fee approval - Part 2",IF(S.InvolveFee=TRUE,"See DAS notification below","Fees not involved"))</f>
        <v>DAS fee approval - Part 2</v>
      </c>
      <c r="AAM447" s="113"/>
      <c r="AAU447" s="44"/>
    </row>
    <row r="448" spans="1:732" s="23" customFormat="1" ht="15" outlineLevel="2">
      <c r="A448" s="560"/>
      <c r="B448" s="527" t="str">
        <f>AAL448</f>
        <v>a. SIGNED.PART.1</v>
      </c>
      <c r="C448" s="721"/>
      <c r="D448" s="180" t="s">
        <v>0</v>
      </c>
      <c r="E448" s="401"/>
      <c r="F448" s="401"/>
      <c r="G448" s="357"/>
      <c r="H448" s="357"/>
      <c r="I448" s="590"/>
      <c r="J448" s="594"/>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620"/>
      <c r="ZZ448" s="36"/>
      <c r="AAA448" s="590"/>
      <c r="AAB448"/>
      <c r="AAC448"/>
      <c r="AAD448" s="113"/>
      <c r="AAE448" s="553">
        <f>IF(AND(S.InvolveFee=TRUE,S.DASApprovalRequired=TRUE),1,0)</f>
        <v>1</v>
      </c>
      <c r="AAF448" s="585" t="s">
        <v>199</v>
      </c>
      <c r="AAG448" s="76"/>
      <c r="AAH448" s="76"/>
      <c r="AAI448" s="77"/>
      <c r="AAJ448" s="77"/>
      <c r="AAK448" s="77"/>
      <c r="AAL448" s="89" t="str">
        <f>"a. "&amp;S.CodeName&amp;"SIGNED.PART.1"</f>
        <v>a. SIGNED.PART.1</v>
      </c>
      <c r="AAM448" s="113"/>
      <c r="AAU448" s="44"/>
      <c r="AAV448"/>
      <c r="AAW448"/>
      <c r="AAX448"/>
      <c r="AAY448"/>
      <c r="AAZ448"/>
      <c r="ABA448"/>
      <c r="ABB448"/>
      <c r="ABC448"/>
      <c r="ABD448"/>
    </row>
    <row r="449" spans="1:732" s="23" customFormat="1" ht="15" outlineLevel="2">
      <c r="A449" s="560"/>
      <c r="B449" s="527" t="str">
        <f>AAL449</f>
        <v>b. FEE.EXCERPT.FROM.RULE</v>
      </c>
      <c r="C449" s="721"/>
      <c r="D449" s="180"/>
      <c r="E449" s="401"/>
      <c r="F449" s="401"/>
      <c r="G449" s="357"/>
      <c r="H449" s="357"/>
      <c r="I449" s="590"/>
      <c r="J449" s="594"/>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20"/>
      <c r="ZZ449" s="36"/>
      <c r="AAA449" s="590"/>
      <c r="AAB449"/>
      <c r="AAC449"/>
      <c r="AAD449" s="113"/>
      <c r="AAE449" s="553">
        <f>IF(AND(S.InvolveFee=TRUE,S.DASApprovalRequired=TRUE),1,0)</f>
        <v>1</v>
      </c>
      <c r="AAF449" s="585" t="s">
        <v>199</v>
      </c>
      <c r="AAG449" s="76"/>
      <c r="AAH449" s="76"/>
      <c r="AAI449" s="77"/>
      <c r="AAJ449" s="77"/>
      <c r="AAK449" s="77"/>
      <c r="AAL449" s="89" t="str">
        <f>"b. "&amp;S.CodeName&amp;"FEE.EXCERPT.FROM.RULE"</f>
        <v>b. FEE.EXCERPT.FROM.RULE</v>
      </c>
      <c r="AAM449" s="113"/>
      <c r="AAU449" s="44"/>
      <c r="AAV449"/>
      <c r="AAW449"/>
      <c r="AAX449"/>
      <c r="AAY449"/>
      <c r="AAZ449"/>
      <c r="ABA449"/>
      <c r="ABB449"/>
      <c r="ABC449"/>
      <c r="ABD449"/>
    </row>
    <row r="450" spans="1:732" ht="15.75" customHeight="1" outlineLevel="2">
      <c r="A450" s="560"/>
      <c r="B450" s="468" t="s">
        <v>372</v>
      </c>
      <c r="C450" s="169"/>
      <c r="D450" s="175"/>
      <c r="E450" s="401"/>
      <c r="F450" s="401"/>
      <c r="G450" s="470"/>
      <c r="H450" s="470"/>
      <c r="I450" s="590"/>
      <c r="J450" s="594"/>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20"/>
      <c r="ZZ450" s="36"/>
      <c r="AAA450" s="590"/>
      <c r="AAD450" s="113"/>
      <c r="AAE450" s="553">
        <f>IF(AND(S.InvolveFee=TRUE,S.DASApprovalRequired=TRUE),1,0)</f>
        <v>1</v>
      </c>
      <c r="AAF450" s="585" t="s">
        <v>199</v>
      </c>
      <c r="AAG450" s="41"/>
      <c r="AAH450" s="41"/>
      <c r="AAI450" s="77"/>
      <c r="AAJ450" s="77"/>
      <c r="AAK450" s="77"/>
      <c r="AAL450" s="89" t="str">
        <f>S.CodeName&amp; "PROOF.OF.DAS.SUBMITTAL"</f>
        <v>PROOF.OF.DAS.SUBMITTAL</v>
      </c>
      <c r="AAM450" s="113"/>
      <c r="AAN450"/>
      <c r="AAT450" s="23"/>
      <c r="AAU450" s="44"/>
    </row>
    <row r="451" spans="1:732" ht="15.75" customHeight="1" outlineLevel="2">
      <c r="A451" s="560"/>
      <c r="B451" s="417" t="s">
        <v>373</v>
      </c>
      <c r="C451" s="169"/>
      <c r="D451" s="316" t="s">
        <v>167</v>
      </c>
      <c r="E451" s="369">
        <f t="shared" si="998"/>
        <v>1</v>
      </c>
      <c r="F451" s="373">
        <f t="shared" ca="1" si="999"/>
        <v>174</v>
      </c>
      <c r="G451" s="473">
        <f t="shared" ref="G451:H457" si="1001">AAG451</f>
        <v>41624</v>
      </c>
      <c r="H451" s="370">
        <f t="shared" si="1001"/>
        <v>41624</v>
      </c>
      <c r="I451" s="629"/>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50"/>
      <c r="ZZ451" s="50"/>
      <c r="AAA451" s="590"/>
      <c r="AAD451" s="113"/>
      <c r="AAE451" s="553">
        <v>1</v>
      </c>
      <c r="AAF451" s="113" t="s">
        <v>0</v>
      </c>
      <c r="AAG451" s="78">
        <f t="shared" ref="AAG451:AAG457" si="1002">S.BANNER.PostEQCStart</f>
        <v>41624</v>
      </c>
      <c r="AAH451" s="78">
        <f t="shared" ref="AAH451:AAH457" si="1003">S.BANNER.PostEQCEnd</f>
        <v>41624</v>
      </c>
      <c r="AAI451" s="77"/>
      <c r="AAJ451" s="77"/>
      <c r="AAK451" s="77"/>
      <c r="AAL451" s="89" t="str">
        <f>"Optional "&amp;S.CodeName&amp; "STAKEHOLDER.NOTIFICATION"</f>
        <v>Optional STAKEHOLDER.NOTIFICATION</v>
      </c>
      <c r="AAM451" s="113"/>
      <c r="AAN451"/>
      <c r="AAT451" s="23"/>
      <c r="AAU451" s="44"/>
      <c r="AAV451" s="23"/>
      <c r="AAW451" s="23"/>
      <c r="AAX451" s="23"/>
      <c r="AAY451" s="23"/>
      <c r="AAZ451" s="23"/>
      <c r="ABA451" s="23"/>
      <c r="ABB451" s="23"/>
      <c r="ABC451" s="23"/>
      <c r="ABD451" s="23"/>
    </row>
    <row r="452" spans="1:732" ht="15.75" customHeight="1" outlineLevel="2">
      <c r="A452" s="560"/>
      <c r="B452" s="417" t="s">
        <v>374</v>
      </c>
      <c r="C452" s="169"/>
      <c r="D452" s="278" t="s">
        <v>21</v>
      </c>
      <c r="E452" s="369">
        <f t="shared" si="998"/>
        <v>1</v>
      </c>
      <c r="F452" s="373">
        <f t="shared" ca="1" si="999"/>
        <v>174</v>
      </c>
      <c r="G452" s="473">
        <f t="shared" si="1001"/>
        <v>41624</v>
      </c>
      <c r="H452" s="370">
        <f t="shared" si="1001"/>
        <v>41624</v>
      </c>
      <c r="I452" s="629"/>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90"/>
      <c r="AAD452" s="113"/>
      <c r="AAE452" s="553">
        <v>1</v>
      </c>
      <c r="AAF452" s="113"/>
      <c r="AAG452" s="78">
        <f t="shared" si="1002"/>
        <v>41624</v>
      </c>
      <c r="AAH452" s="78">
        <f t="shared" si="1003"/>
        <v>41624</v>
      </c>
      <c r="AAI452" s="77"/>
      <c r="AAJ452" s="77"/>
      <c r="AAK452" s="77"/>
      <c r="AAL452" s="89" t="str">
        <f>"Optional "&amp;S.CodeName&amp; "LEGISLATOR.NOTICE"</f>
        <v>Optional LEGISLATOR.NOTICE</v>
      </c>
      <c r="AAM452" s="113"/>
      <c r="AAN452"/>
      <c r="AAT452" s="23"/>
      <c r="AAU452" s="44"/>
    </row>
    <row r="453" spans="1:732" s="23" customFormat="1" ht="15.75" customHeight="1" outlineLevel="2">
      <c r="A453" s="560"/>
      <c r="B453" s="687" t="s">
        <v>375</v>
      </c>
      <c r="C453" s="169"/>
      <c r="D453" s="278" t="s">
        <v>21</v>
      </c>
      <c r="E453" s="369">
        <f t="shared" ref="E453" si="1004">NETWORKDAYS(G453,H453,S.DDL_DEQClosed)</f>
        <v>1</v>
      </c>
      <c r="F453" s="373">
        <f t="shared" ref="F453" ca="1" si="1005">NETWORKDAYS(TODAY(),H453)</f>
        <v>174</v>
      </c>
      <c r="G453" s="473">
        <f t="shared" ref="G453" si="1006">AAG453</f>
        <v>41624</v>
      </c>
      <c r="H453" s="370">
        <f t="shared" ref="H453" si="1007">AAH453</f>
        <v>41624</v>
      </c>
      <c r="I453" s="629"/>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90"/>
      <c r="AAB453"/>
      <c r="AAC453"/>
      <c r="AAD453" s="113"/>
      <c r="AAE453" s="554">
        <f>IF(S.InvolveSIP=TRUE,1,0)</f>
        <v>0</v>
      </c>
      <c r="AAF453" s="113"/>
      <c r="AAG453" s="78">
        <f t="shared" si="1002"/>
        <v>41624</v>
      </c>
      <c r="AAH453" s="78">
        <f t="shared" si="1003"/>
        <v>41624</v>
      </c>
      <c r="AAI453" s="77"/>
      <c r="AAJ453" s="77"/>
      <c r="AAK453" s="77"/>
      <c r="AAL453" s="89" t="str">
        <f>"Optional "&amp;S.CodeName&amp; "LEGISLATOR.NOTICE"</f>
        <v>Optional LEGISLATOR.NOTICE</v>
      </c>
      <c r="AAM453" s="113"/>
      <c r="AAU453" s="44"/>
      <c r="AAV453"/>
      <c r="AAW453"/>
      <c r="AAX453"/>
      <c r="AAY453"/>
      <c r="AAZ453"/>
      <c r="ABA453"/>
      <c r="ABB453"/>
      <c r="ABC453"/>
      <c r="ABD453"/>
    </row>
    <row r="454" spans="1:732" ht="15.75" customHeight="1" outlineLevel="2">
      <c r="A454" s="560"/>
      <c r="B454" s="417" t="s">
        <v>364</v>
      </c>
      <c r="C454" s="232" t="s">
        <v>73</v>
      </c>
      <c r="D454" s="278" t="s">
        <v>167</v>
      </c>
      <c r="E454" s="369">
        <f t="shared" si="998"/>
        <v>1</v>
      </c>
      <c r="F454" s="373">
        <f t="shared" ca="1" si="999"/>
        <v>174</v>
      </c>
      <c r="G454" s="473">
        <f t="shared" si="1001"/>
        <v>41624</v>
      </c>
      <c r="H454" s="370">
        <f t="shared" si="1001"/>
        <v>41624</v>
      </c>
      <c r="I454" s="62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90"/>
      <c r="AAD454" s="113"/>
      <c r="AAE454" s="553">
        <f>IF(S.InvolveCommittee=TRUE,1,0)</f>
        <v>1</v>
      </c>
      <c r="AAF454" s="113"/>
      <c r="AAG454" s="78">
        <f t="shared" si="1002"/>
        <v>41624</v>
      </c>
      <c r="AAH454" s="78">
        <f t="shared" si="1003"/>
        <v>41624</v>
      </c>
      <c r="AAI454" s="77"/>
      <c r="AAJ454" s="77"/>
      <c r="AAK454" s="77"/>
      <c r="AAL454" s="89" t="str">
        <f>S.CodeName&amp; "COMMITTEE.THANK.YOU"</f>
        <v>COMMITTEE.THANK.YOU</v>
      </c>
      <c r="AAM454" s="113"/>
      <c r="AAN454"/>
      <c r="AAT454" s="23"/>
      <c r="AAU454" s="44"/>
    </row>
    <row r="455" spans="1:732" ht="15.75" customHeight="1" outlineLevel="2">
      <c r="A455" s="560"/>
      <c r="B455" s="417" t="s">
        <v>365</v>
      </c>
      <c r="C455" s="169"/>
      <c r="D455" s="278" t="s">
        <v>167</v>
      </c>
      <c r="E455" s="369">
        <f t="shared" si="998"/>
        <v>1</v>
      </c>
      <c r="F455" s="373">
        <f t="shared" ca="1" si="999"/>
        <v>174</v>
      </c>
      <c r="G455" s="473">
        <f t="shared" si="1001"/>
        <v>41624</v>
      </c>
      <c r="H455" s="370">
        <f t="shared" si="1001"/>
        <v>41624</v>
      </c>
      <c r="I455" s="629"/>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90"/>
      <c r="AAD455" s="113"/>
      <c r="AAE455" s="553">
        <f>IF(S.InvolveCommittee=TRUE,1,0)</f>
        <v>1</v>
      </c>
      <c r="AAF455" s="113"/>
      <c r="AAG455" s="78">
        <f t="shared" si="1002"/>
        <v>41624</v>
      </c>
      <c r="AAH455" s="78">
        <f t="shared" si="1003"/>
        <v>41624</v>
      </c>
      <c r="AAI455" s="77"/>
      <c r="AAJ455" s="77"/>
      <c r="AAK455" s="77"/>
      <c r="AAL455" s="89" t="str">
        <f>S.CodeName&amp; "COMMITTEE.SURVEY"</f>
        <v>COMMITTEE.SURVEY</v>
      </c>
      <c r="AAM455" s="113"/>
      <c r="AAN455"/>
      <c r="AAT455" s="23"/>
      <c r="AAU455" s="44"/>
    </row>
    <row r="456" spans="1:732" ht="15.75" customHeight="1" outlineLevel="2">
      <c r="A456" s="560"/>
      <c r="B456" s="417" t="s">
        <v>366</v>
      </c>
      <c r="C456" s="169"/>
      <c r="D456" s="278" t="s">
        <v>167</v>
      </c>
      <c r="E456" s="369">
        <f t="shared" si="998"/>
        <v>1</v>
      </c>
      <c r="F456" s="373">
        <f t="shared" ca="1" si="999"/>
        <v>174</v>
      </c>
      <c r="G456" s="473">
        <f t="shared" si="1001"/>
        <v>41624</v>
      </c>
      <c r="H456" s="370">
        <f t="shared" si="1001"/>
        <v>41624</v>
      </c>
      <c r="I456" s="629"/>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90"/>
      <c r="AAD456" s="113"/>
      <c r="AAE456" s="553">
        <v>1</v>
      </c>
      <c r="AAF456" s="113"/>
      <c r="AAG456" s="78">
        <f t="shared" si="1002"/>
        <v>41624</v>
      </c>
      <c r="AAH456" s="78">
        <f t="shared" si="1003"/>
        <v>41624</v>
      </c>
      <c r="AAI456" s="77"/>
      <c r="AAJ456" s="77"/>
      <c r="AAK456" s="77"/>
      <c r="AAL456" s="89" t="str">
        <f>S.CodeName&amp; "YourName.EMAILS"</f>
        <v>YourName.EMAILS</v>
      </c>
      <c r="AAM456" s="113"/>
      <c r="AAN456"/>
      <c r="AAT456" s="23"/>
      <c r="AAU456" s="44"/>
    </row>
    <row r="457" spans="1:732" ht="15.75" customHeight="1" outlineLevel="2">
      <c r="A457" s="560"/>
      <c r="B457" s="417" t="s">
        <v>367</v>
      </c>
      <c r="C457" s="169"/>
      <c r="D457" s="278" t="s">
        <v>167</v>
      </c>
      <c r="E457" s="369">
        <f t="shared" si="998"/>
        <v>1</v>
      </c>
      <c r="F457" s="373">
        <f t="shared" ca="1" si="999"/>
        <v>174</v>
      </c>
      <c r="G457" s="473">
        <f t="shared" si="1001"/>
        <v>41624</v>
      </c>
      <c r="H457" s="370">
        <f t="shared" si="1001"/>
        <v>41624</v>
      </c>
      <c r="I457" s="629"/>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90"/>
      <c r="AAD457" s="113"/>
      <c r="AAE457" s="553">
        <v>1</v>
      </c>
      <c r="AAF457" s="113"/>
      <c r="AAG457" s="78">
        <f t="shared" si="1002"/>
        <v>41624</v>
      </c>
      <c r="AAH457" s="78">
        <f t="shared" si="1003"/>
        <v>41624</v>
      </c>
      <c r="AAI457" s="77"/>
      <c r="AAJ457" s="77"/>
      <c r="AAK457" s="77"/>
      <c r="AAL457" s="89" t="str">
        <f>S.CodeName&amp; "EVALUATION"</f>
        <v>EVALUATION</v>
      </c>
      <c r="AAM457" s="113"/>
      <c r="AAN457"/>
      <c r="AAT457" s="23"/>
      <c r="AAU457" s="44"/>
    </row>
    <row r="458" spans="1:732" ht="15.75" customHeight="1" outlineLevel="2">
      <c r="A458" s="560"/>
      <c r="B458" s="463" t="s">
        <v>134</v>
      </c>
      <c r="C458" s="697"/>
      <c r="D458" s="146"/>
      <c r="E458" s="161"/>
      <c r="F458" s="161"/>
      <c r="G458" s="162"/>
      <c r="H458" s="162"/>
      <c r="I458" s="590"/>
      <c r="J458" s="599"/>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c r="BO458" s="45"/>
      <c r="BP458" s="45"/>
      <c r="BQ458" s="45"/>
      <c r="BR458" s="45"/>
      <c r="BS458" s="45"/>
      <c r="BT458" s="45"/>
      <c r="BU458" s="45"/>
      <c r="BV458" s="45"/>
      <c r="BW458" s="45"/>
      <c r="BX458" s="45"/>
      <c r="BY458" s="45"/>
      <c r="BZ458" s="45"/>
      <c r="CA458" s="45"/>
      <c r="CB458" s="45"/>
      <c r="CC458" s="45"/>
      <c r="CD458" s="45"/>
      <c r="CE458" s="45"/>
      <c r="CF458" s="45"/>
      <c r="CG458" s="45"/>
      <c r="CH458" s="45"/>
      <c r="CI458" s="45"/>
      <c r="CJ458" s="45"/>
      <c r="CK458" s="45"/>
      <c r="CL458" s="45"/>
      <c r="CM458" s="45"/>
      <c r="CN458" s="45"/>
      <c r="CO458" s="45"/>
      <c r="CP458" s="45"/>
      <c r="CQ458" s="45"/>
      <c r="CR458" s="45"/>
      <c r="CS458" s="45"/>
      <c r="CT458" s="45"/>
      <c r="CU458" s="45"/>
      <c r="CV458" s="45"/>
      <c r="CW458" s="45"/>
      <c r="CX458" s="45"/>
      <c r="CY458" s="45"/>
      <c r="CZ458" s="45"/>
      <c r="DA458" s="45"/>
      <c r="DB458" s="45"/>
      <c r="DC458" s="45"/>
      <c r="DD458" s="45"/>
      <c r="DE458" s="45"/>
      <c r="DF458" s="45"/>
      <c r="DG458" s="45"/>
      <c r="DH458" s="45"/>
      <c r="DI458" s="45"/>
      <c r="DJ458" s="45"/>
      <c r="DK458" s="45"/>
      <c r="DL458" s="45"/>
      <c r="DM458" s="45"/>
      <c r="DN458" s="45"/>
      <c r="DO458" s="45"/>
      <c r="DP458" s="45"/>
      <c r="DQ458" s="45"/>
      <c r="DR458" s="45"/>
      <c r="DS458" s="45"/>
      <c r="DT458" s="45"/>
      <c r="DU458" s="45"/>
      <c r="DV458" s="45"/>
      <c r="DW458" s="45"/>
      <c r="DX458" s="45"/>
      <c r="DY458" s="45"/>
      <c r="DZ458" s="45"/>
      <c r="EA458" s="45"/>
      <c r="EB458" s="45"/>
      <c r="EC458" s="45"/>
      <c r="ED458" s="45"/>
      <c r="EE458" s="45"/>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J458" s="45"/>
      <c r="FK458" s="45"/>
      <c r="FL458" s="45"/>
      <c r="FM458" s="45"/>
      <c r="FN458" s="45"/>
      <c r="FO458" s="45"/>
      <c r="FP458" s="45"/>
      <c r="FQ458" s="45"/>
      <c r="FR458" s="45"/>
      <c r="FS458" s="45"/>
      <c r="FT458" s="45"/>
      <c r="FU458" s="45"/>
      <c r="FV458" s="45"/>
      <c r="FW458" s="45"/>
      <c r="FX458" s="45"/>
      <c r="FY458" s="45"/>
      <c r="FZ458" s="45"/>
      <c r="GA458" s="45"/>
      <c r="GB458" s="45"/>
      <c r="GC458" s="45"/>
      <c r="GD458" s="45"/>
      <c r="GE458" s="45"/>
      <c r="GF458" s="45"/>
      <c r="GG458" s="45"/>
      <c r="GH458" s="45"/>
      <c r="GI458" s="45"/>
      <c r="GJ458" s="45"/>
      <c r="GK458" s="45"/>
      <c r="GL458" s="45"/>
      <c r="GM458" s="45"/>
      <c r="GN458" s="45"/>
      <c r="GO458" s="45"/>
      <c r="GP458" s="45"/>
      <c r="GQ458" s="45"/>
      <c r="GR458" s="45"/>
      <c r="GS458" s="45"/>
      <c r="GT458" s="45"/>
      <c r="GU458" s="45"/>
      <c r="GV458" s="45"/>
      <c r="GW458" s="45"/>
      <c r="GX458" s="45"/>
      <c r="GY458" s="45"/>
      <c r="GZ458" s="45"/>
      <c r="HA458" s="45"/>
      <c r="HB458" s="45"/>
      <c r="HC458" s="45"/>
      <c r="HD458" s="45"/>
      <c r="HE458" s="45"/>
      <c r="HF458" s="45"/>
      <c r="HG458" s="45"/>
      <c r="HH458" s="45"/>
      <c r="HI458" s="45"/>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c r="IG458" s="45"/>
      <c r="IH458" s="45"/>
      <c r="II458" s="45"/>
      <c r="IJ458" s="45"/>
      <c r="IK458" s="45"/>
      <c r="IL458" s="45"/>
      <c r="IM458" s="45"/>
      <c r="IN458" s="45"/>
      <c r="IO458" s="45"/>
      <c r="IP458" s="45"/>
      <c r="IQ458" s="45"/>
      <c r="IR458" s="45"/>
      <c r="IS458" s="45"/>
      <c r="IT458" s="45"/>
      <c r="IU458" s="45"/>
      <c r="IV458" s="45"/>
      <c r="IW458" s="45"/>
      <c r="IX458" s="45"/>
      <c r="IY458" s="45"/>
      <c r="IZ458" s="45"/>
      <c r="JA458" s="45"/>
      <c r="JB458" s="45"/>
      <c r="JC458" s="45"/>
      <c r="JD458" s="45"/>
      <c r="JE458" s="45"/>
      <c r="JF458" s="45"/>
      <c r="JG458" s="45"/>
      <c r="JH458" s="45"/>
      <c r="JI458" s="45"/>
      <c r="JJ458" s="45"/>
      <c r="JK458" s="45"/>
      <c r="JL458" s="45"/>
      <c r="JM458" s="45"/>
      <c r="JN458" s="45"/>
      <c r="JO458" s="45"/>
      <c r="JP458" s="45"/>
      <c r="JQ458" s="45"/>
      <c r="JR458" s="45"/>
      <c r="JS458" s="45"/>
      <c r="JT458" s="45"/>
      <c r="JU458" s="45"/>
      <c r="JV458" s="45"/>
      <c r="JW458" s="45"/>
      <c r="JX458" s="45"/>
      <c r="JY458" s="45"/>
      <c r="JZ458" s="45"/>
      <c r="KA458" s="45"/>
      <c r="KB458" s="45"/>
      <c r="KC458" s="45"/>
      <c r="KD458" s="45"/>
      <c r="KE458" s="45"/>
      <c r="KF458" s="45"/>
      <c r="KG458" s="45"/>
      <c r="KH458" s="45"/>
      <c r="KI458" s="45"/>
      <c r="KJ458" s="45"/>
      <c r="KK458" s="45"/>
      <c r="KL458" s="45"/>
      <c r="KM458" s="45"/>
      <c r="KN458" s="45"/>
      <c r="KO458" s="45"/>
      <c r="KP458" s="45"/>
      <c r="KQ458" s="45"/>
      <c r="KR458" s="45"/>
      <c r="KS458" s="45"/>
      <c r="KT458" s="45"/>
      <c r="KU458" s="45"/>
      <c r="KV458" s="45"/>
      <c r="KW458" s="45"/>
      <c r="KX458" s="45"/>
      <c r="KY458" s="45"/>
      <c r="KZ458" s="45"/>
      <c r="LA458" s="45"/>
      <c r="LB458" s="45"/>
      <c r="LC458" s="45"/>
      <c r="LD458" s="45"/>
      <c r="LE458" s="45"/>
      <c r="LF458" s="45"/>
      <c r="LG458" s="45"/>
      <c r="LH458" s="45"/>
      <c r="LI458" s="45"/>
      <c r="LJ458" s="45"/>
      <c r="LK458" s="45"/>
      <c r="LL458" s="45"/>
      <c r="LM458" s="45"/>
      <c r="LN458" s="45"/>
      <c r="LO458" s="45"/>
      <c r="LP458" s="45"/>
      <c r="LQ458" s="45"/>
      <c r="LR458" s="45"/>
      <c r="LS458" s="45"/>
      <c r="LT458" s="45"/>
      <c r="LU458" s="45"/>
      <c r="LV458" s="45"/>
      <c r="LW458" s="45"/>
      <c r="LX458" s="45"/>
      <c r="LY458" s="45"/>
      <c r="LZ458" s="45"/>
      <c r="MA458" s="45"/>
      <c r="MB458" s="45"/>
      <c r="MC458" s="45"/>
      <c r="MD458" s="45"/>
      <c r="ME458" s="45"/>
      <c r="MF458" s="45"/>
      <c r="MG458" s="45"/>
      <c r="MH458" s="45"/>
      <c r="MI458" s="45"/>
      <c r="MJ458" s="45"/>
      <c r="MK458" s="45"/>
      <c r="ML458" s="45"/>
      <c r="MM458" s="45"/>
      <c r="MN458" s="45"/>
      <c r="MO458" s="45"/>
      <c r="MP458" s="45"/>
      <c r="MQ458" s="45"/>
      <c r="MR458" s="45"/>
      <c r="MS458" s="45"/>
      <c r="MT458" s="45"/>
      <c r="MU458" s="45"/>
      <c r="MV458" s="45"/>
      <c r="MW458" s="45"/>
      <c r="MX458" s="45"/>
      <c r="MY458" s="45"/>
      <c r="MZ458" s="45"/>
      <c r="NA458" s="45"/>
      <c r="NB458" s="45"/>
      <c r="NC458" s="45"/>
      <c r="ND458" s="45"/>
      <c r="NE458" s="45"/>
      <c r="NF458" s="45"/>
      <c r="NG458" s="45"/>
      <c r="NH458" s="45"/>
      <c r="NI458" s="45"/>
      <c r="NJ458" s="45"/>
      <c r="NK458" s="45"/>
      <c r="NL458" s="45"/>
      <c r="NM458" s="45"/>
      <c r="NN458" s="45"/>
      <c r="NO458" s="45"/>
      <c r="NP458" s="45"/>
      <c r="NQ458" s="45"/>
      <c r="NR458" s="45"/>
      <c r="NS458" s="45"/>
      <c r="NT458" s="45"/>
      <c r="NU458" s="45"/>
      <c r="NV458" s="45"/>
      <c r="NW458" s="45"/>
      <c r="NX458" s="45"/>
      <c r="NY458" s="45"/>
      <c r="NZ458" s="45"/>
      <c r="OA458" s="45"/>
      <c r="OB458" s="45"/>
      <c r="OC458" s="45"/>
      <c r="OD458" s="45"/>
      <c r="OE458" s="45"/>
      <c r="OF458" s="45"/>
      <c r="OG458" s="45"/>
      <c r="OH458" s="45"/>
      <c r="OI458" s="45"/>
      <c r="OJ458" s="45"/>
      <c r="OK458" s="45"/>
      <c r="OL458" s="45"/>
      <c r="OM458" s="45"/>
      <c r="ON458" s="45"/>
      <c r="OO458" s="45"/>
      <c r="OP458" s="45"/>
      <c r="OQ458" s="45"/>
      <c r="OR458" s="45"/>
      <c r="OS458" s="45"/>
      <c r="OT458" s="45"/>
      <c r="OU458" s="45"/>
      <c r="OV458" s="45"/>
      <c r="OW458" s="45"/>
      <c r="OX458" s="45"/>
      <c r="OY458" s="45"/>
      <c r="OZ458" s="45"/>
      <c r="PA458" s="45"/>
      <c r="PB458" s="45"/>
      <c r="PC458" s="45"/>
      <c r="PD458" s="45"/>
      <c r="PE458" s="45"/>
      <c r="PF458" s="45"/>
      <c r="PG458" s="45"/>
      <c r="PH458" s="45"/>
      <c r="PI458" s="45"/>
      <c r="PJ458" s="45"/>
      <c r="PK458" s="45"/>
      <c r="PL458" s="45"/>
      <c r="PM458" s="45"/>
      <c r="PN458" s="45"/>
      <c r="PO458" s="45"/>
      <c r="PP458" s="45"/>
      <c r="PQ458" s="45"/>
      <c r="PR458" s="45"/>
      <c r="PS458" s="45"/>
      <c r="PT458" s="45"/>
      <c r="PU458" s="45"/>
      <c r="PV458" s="45"/>
      <c r="PW458" s="45"/>
      <c r="PX458" s="45"/>
      <c r="PY458" s="45"/>
      <c r="PZ458" s="45"/>
      <c r="QA458" s="45"/>
      <c r="QB458" s="45"/>
      <c r="QC458" s="45"/>
      <c r="QD458" s="45"/>
      <c r="QE458" s="45"/>
      <c r="QF458" s="45"/>
      <c r="QG458" s="45"/>
      <c r="QH458" s="45"/>
      <c r="QI458" s="45"/>
      <c r="QJ458" s="45"/>
      <c r="QK458" s="45"/>
      <c r="QL458" s="45"/>
      <c r="QM458" s="45"/>
      <c r="QN458" s="45"/>
      <c r="QO458" s="45"/>
      <c r="QP458" s="45"/>
      <c r="QQ458" s="45"/>
      <c r="QR458" s="45"/>
      <c r="QS458" s="45"/>
      <c r="QT458" s="45"/>
      <c r="QU458" s="45"/>
      <c r="QV458" s="45"/>
      <c r="QW458" s="45"/>
      <c r="QX458" s="45"/>
      <c r="QY458" s="45"/>
      <c r="QZ458" s="45"/>
      <c r="RA458" s="45"/>
      <c r="RB458" s="45"/>
      <c r="RC458" s="45"/>
      <c r="RD458" s="45"/>
      <c r="RE458" s="45"/>
      <c r="RF458" s="45"/>
      <c r="RG458" s="45"/>
      <c r="RH458" s="45"/>
      <c r="RI458" s="45"/>
      <c r="RJ458" s="45"/>
      <c r="RK458" s="45"/>
      <c r="RL458" s="45"/>
      <c r="RM458" s="45"/>
      <c r="RN458" s="45"/>
      <c r="RO458" s="45"/>
      <c r="RP458" s="45"/>
      <c r="RQ458" s="45"/>
      <c r="RR458" s="45"/>
      <c r="RS458" s="45"/>
      <c r="RT458" s="45"/>
      <c r="RU458" s="45"/>
      <c r="RV458" s="45"/>
      <c r="RW458" s="45"/>
      <c r="RX458" s="45"/>
      <c r="RY458" s="45"/>
      <c r="RZ458" s="45"/>
      <c r="SA458" s="45"/>
      <c r="SB458" s="45"/>
      <c r="SC458" s="45"/>
      <c r="SD458" s="45"/>
      <c r="SE458" s="45"/>
      <c r="SF458" s="45"/>
      <c r="SG458" s="45"/>
      <c r="SH458" s="45"/>
      <c r="SI458" s="45"/>
      <c r="SJ458" s="45"/>
      <c r="SK458" s="45"/>
      <c r="SL458" s="45"/>
      <c r="SM458" s="45"/>
      <c r="SN458" s="45"/>
      <c r="SO458" s="45"/>
      <c r="SP458" s="45"/>
      <c r="SQ458" s="45"/>
      <c r="SR458" s="45"/>
      <c r="SS458" s="45"/>
      <c r="ST458" s="45"/>
      <c r="SU458" s="45"/>
      <c r="SV458" s="45"/>
      <c r="SW458" s="45"/>
      <c r="SX458" s="45"/>
      <c r="SY458" s="45"/>
      <c r="SZ458" s="45"/>
      <c r="TA458" s="45"/>
      <c r="TB458" s="45"/>
      <c r="TC458" s="45"/>
      <c r="TD458" s="45"/>
      <c r="TE458" s="45"/>
      <c r="TF458" s="45"/>
      <c r="TG458" s="45"/>
      <c r="TH458" s="45"/>
      <c r="TI458" s="45"/>
      <c r="TJ458" s="45"/>
      <c r="TK458" s="45"/>
      <c r="TL458" s="45"/>
      <c r="TM458" s="45"/>
      <c r="TN458" s="45"/>
      <c r="TO458" s="45"/>
      <c r="TP458" s="45"/>
      <c r="TQ458" s="45"/>
      <c r="TR458" s="45"/>
      <c r="TS458" s="45"/>
      <c r="TT458" s="45"/>
      <c r="TU458" s="45"/>
      <c r="TV458" s="45"/>
      <c r="TW458" s="45"/>
      <c r="TX458" s="45"/>
      <c r="TY458" s="45"/>
      <c r="TZ458" s="45"/>
      <c r="UA458" s="45"/>
      <c r="UB458" s="45"/>
      <c r="UC458" s="45"/>
      <c r="UD458" s="45"/>
      <c r="UE458" s="45"/>
      <c r="UF458" s="45"/>
      <c r="UG458" s="45"/>
      <c r="UH458" s="45"/>
      <c r="UI458" s="45"/>
      <c r="UJ458" s="45"/>
      <c r="UK458" s="45"/>
      <c r="UL458" s="45"/>
      <c r="UM458" s="45"/>
      <c r="UN458" s="45"/>
      <c r="UO458" s="45"/>
      <c r="UP458" s="45"/>
      <c r="UQ458" s="45"/>
      <c r="UR458" s="45"/>
      <c r="US458" s="45"/>
      <c r="UT458" s="45"/>
      <c r="UU458" s="45"/>
      <c r="UV458" s="45"/>
      <c r="UW458" s="45"/>
      <c r="UX458" s="45"/>
      <c r="UY458" s="45"/>
      <c r="UZ458" s="45"/>
      <c r="VA458" s="45"/>
      <c r="VB458" s="45"/>
      <c r="VC458" s="45"/>
      <c r="VD458" s="45"/>
      <c r="VE458" s="45"/>
      <c r="VF458" s="45"/>
      <c r="VG458" s="45"/>
      <c r="VH458" s="45"/>
      <c r="VI458" s="45"/>
      <c r="VJ458" s="45"/>
      <c r="VK458" s="45"/>
      <c r="VL458" s="45"/>
      <c r="VM458" s="45"/>
      <c r="VN458" s="45"/>
      <c r="VO458" s="45"/>
      <c r="VP458" s="45"/>
      <c r="VQ458" s="45"/>
      <c r="VR458" s="45"/>
      <c r="VS458" s="45"/>
      <c r="VT458" s="45"/>
      <c r="VU458" s="45"/>
      <c r="VV458" s="45"/>
      <c r="VW458" s="45"/>
      <c r="VX458" s="45"/>
      <c r="VY458" s="45"/>
      <c r="VZ458" s="45"/>
      <c r="WA458" s="45"/>
      <c r="WB458" s="45"/>
      <c r="WC458" s="45"/>
      <c r="WD458" s="45"/>
      <c r="WE458" s="45"/>
      <c r="WF458" s="45"/>
      <c r="WG458" s="45"/>
      <c r="WH458" s="45"/>
      <c r="WI458" s="45"/>
      <c r="WJ458" s="45"/>
      <c r="WK458" s="45"/>
      <c r="WL458" s="45"/>
      <c r="WM458" s="45"/>
      <c r="WN458" s="45"/>
      <c r="WO458" s="45"/>
      <c r="WP458" s="45"/>
      <c r="WQ458" s="45"/>
      <c r="WR458" s="45"/>
      <c r="WS458" s="45"/>
      <c r="WT458" s="45"/>
      <c r="WU458" s="45"/>
      <c r="WV458" s="45"/>
      <c r="WW458" s="45"/>
      <c r="WX458" s="45"/>
      <c r="WY458" s="45"/>
      <c r="WZ458" s="45"/>
      <c r="XA458" s="45"/>
      <c r="XB458" s="45"/>
      <c r="XC458" s="45"/>
      <c r="XD458" s="45"/>
      <c r="XE458" s="45"/>
      <c r="XF458" s="45"/>
      <c r="XG458" s="45"/>
      <c r="XH458" s="45"/>
      <c r="XI458" s="45"/>
      <c r="XJ458" s="45"/>
      <c r="XK458" s="45"/>
      <c r="XL458" s="45"/>
      <c r="XM458" s="45"/>
      <c r="XN458" s="45"/>
      <c r="XO458" s="45"/>
      <c r="XP458" s="45"/>
      <c r="XQ458" s="45"/>
      <c r="XR458" s="45"/>
      <c r="XS458" s="45"/>
      <c r="XT458" s="45"/>
      <c r="XU458" s="45"/>
      <c r="XV458" s="45"/>
      <c r="XW458" s="45"/>
      <c r="XX458" s="45"/>
      <c r="XY458" s="45"/>
      <c r="XZ458" s="45"/>
      <c r="YA458" s="45"/>
      <c r="YB458" s="45"/>
      <c r="YC458" s="45"/>
      <c r="YD458" s="45"/>
      <c r="YE458" s="45"/>
      <c r="YF458" s="45"/>
      <c r="YG458" s="45"/>
      <c r="YH458" s="45"/>
      <c r="YI458" s="45"/>
      <c r="YJ458" s="45"/>
      <c r="YK458" s="45"/>
      <c r="YL458" s="45"/>
      <c r="YM458" s="45"/>
      <c r="YN458" s="45"/>
      <c r="YO458" s="45"/>
      <c r="YP458" s="45"/>
      <c r="YQ458" s="45"/>
      <c r="YR458" s="45"/>
      <c r="YS458" s="45"/>
      <c r="YT458" s="45"/>
      <c r="YU458" s="45"/>
      <c r="YV458" s="45"/>
      <c r="YW458" s="45"/>
      <c r="YX458" s="45"/>
      <c r="YY458" s="45"/>
      <c r="YZ458" s="45"/>
      <c r="ZA458" s="45"/>
      <c r="ZB458" s="45"/>
      <c r="ZC458" s="45"/>
      <c r="ZD458" s="45"/>
      <c r="ZE458" s="45"/>
      <c r="ZF458" s="45"/>
      <c r="ZG458" s="45"/>
      <c r="ZH458" s="45"/>
      <c r="ZI458" s="45"/>
      <c r="ZJ458" s="45"/>
      <c r="ZK458" s="45"/>
      <c r="ZL458" s="45"/>
      <c r="ZM458" s="45"/>
      <c r="ZN458" s="45"/>
      <c r="ZO458" s="45"/>
      <c r="ZP458" s="45"/>
      <c r="ZQ458" s="45"/>
      <c r="ZR458" s="45"/>
      <c r="ZS458" s="45"/>
      <c r="ZT458" s="45"/>
      <c r="ZU458" s="45"/>
      <c r="ZV458" s="45"/>
      <c r="ZW458" s="45"/>
      <c r="ZX458" s="45"/>
      <c r="ZY458" s="623"/>
      <c r="ZZ458" s="626"/>
      <c r="AAA458" s="590"/>
      <c r="AAD458" s="113"/>
      <c r="AAE458" s="553">
        <v>1</v>
      </c>
      <c r="AAF458" s="585" t="s">
        <v>199</v>
      </c>
      <c r="AAG458" s="63"/>
      <c r="AAH458" s="63"/>
      <c r="AAI458" s="63"/>
      <c r="AAJ458" s="79"/>
      <c r="AAK458" s="79"/>
      <c r="AAL458" s="58"/>
      <c r="AAM458" s="113"/>
      <c r="AAN458"/>
      <c r="AAT458" s="23"/>
      <c r="AAU458" s="44"/>
      <c r="AAV458" s="23"/>
      <c r="AAW458" s="23"/>
      <c r="AAX458" s="23"/>
      <c r="AAY458" s="23"/>
      <c r="AAZ458" s="23"/>
      <c r="ABA458" s="23"/>
      <c r="ABB458" s="23"/>
      <c r="ABC458" s="23"/>
      <c r="ABD458" s="23"/>
    </row>
    <row r="459" spans="1:732" ht="15.75" customHeight="1" outlineLevel="2">
      <c r="A459" s="560"/>
      <c r="B459" s="475" t="s">
        <v>195</v>
      </c>
      <c r="C459" s="169"/>
      <c r="D459" s="278" t="s">
        <v>216</v>
      </c>
      <c r="E459" s="369">
        <f t="shared" ref="E459" si="1008">NETWORKDAYS(G459,H459,S.DDL_DEQClosed)</f>
        <v>1</v>
      </c>
      <c r="F459" s="373">
        <f t="shared" ref="F459" ca="1" si="1009">NETWORKDAYS(TODAY(),H459)</f>
        <v>133</v>
      </c>
      <c r="G459" s="450">
        <f>AAG459</f>
        <v>41565</v>
      </c>
      <c r="H459" s="371">
        <f>AAH459</f>
        <v>41565</v>
      </c>
      <c r="I459" s="62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590"/>
      <c r="AAD459" s="113"/>
      <c r="AAE459" s="553">
        <v>1</v>
      </c>
      <c r="AAF459" s="113"/>
      <c r="AAG459" s="78">
        <f>WORKDAY(S.EQCMeeting+4,-1,S.DDL_DEQClosed)</f>
        <v>41565</v>
      </c>
      <c r="AAH459" s="78">
        <f>S.FileRuleWithSOS</f>
        <v>41565</v>
      </c>
      <c r="AAI459" s="77"/>
      <c r="AAJ459" s="79"/>
      <c r="AAK459" s="79"/>
      <c r="AAL459" s="57"/>
      <c r="AAM459" s="113"/>
      <c r="AAN459"/>
      <c r="AAT459" s="23"/>
      <c r="AAU459" s="44"/>
    </row>
    <row r="460" spans="1:732" s="23" customFormat="1" ht="20.25" customHeight="1" outlineLevel="2">
      <c r="A460" s="560"/>
      <c r="B460" s="317" t="s">
        <v>197</v>
      </c>
      <c r="C460" s="317"/>
      <c r="D460" s="123"/>
      <c r="E460" s="369">
        <f t="shared" ref="E460" si="1010">NETWORKDAYS(G460,H460,S.DDL_DEQClosed)</f>
        <v>1</v>
      </c>
      <c r="F460" s="373">
        <f t="shared" ref="F460" ca="1" si="1011">NETWORKDAYS(TODAY(),H460)</f>
        <v>133</v>
      </c>
      <c r="G460" s="456">
        <f>AAG460</f>
        <v>41565</v>
      </c>
      <c r="H460" s="474">
        <f>AAH460</f>
        <v>41565</v>
      </c>
      <c r="I460" s="62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90"/>
      <c r="AAB460"/>
      <c r="AAC460"/>
      <c r="AAD460" s="113"/>
      <c r="AAE460" s="553">
        <v>1</v>
      </c>
      <c r="AAF460" s="113"/>
      <c r="AAG460" s="78">
        <f>S.RuleEffective</f>
        <v>41565</v>
      </c>
      <c r="AAH460" s="78">
        <f>S.FileRuleWithSOS</f>
        <v>41565</v>
      </c>
      <c r="AAI460" s="77"/>
      <c r="AAJ460" s="77"/>
      <c r="AAK460" s="77"/>
      <c r="AAL460" s="57"/>
      <c r="AAM460" s="113"/>
      <c r="AAU460" s="44"/>
      <c r="AAV460"/>
      <c r="AAW460"/>
      <c r="AAX460"/>
      <c r="AAY460"/>
      <c r="AAZ460"/>
      <c r="ABA460"/>
      <c r="ABB460"/>
      <c r="ABC460"/>
      <c r="ABD460"/>
    </row>
    <row r="461" spans="1:732" ht="15.75" customHeight="1" outlineLevel="2">
      <c r="A461" s="560"/>
      <c r="B461" s="468" t="s">
        <v>369</v>
      </c>
      <c r="C461" s="202"/>
      <c r="D461" s="175"/>
      <c r="E461" s="161"/>
      <c r="F461" s="161"/>
      <c r="G461" s="175"/>
      <c r="H461" s="175"/>
      <c r="I461" s="590"/>
      <c r="J461" s="594"/>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620"/>
      <c r="ZZ461" s="36"/>
      <c r="AAA461" s="590"/>
      <c r="AAD461" s="113"/>
      <c r="AAE461" s="553">
        <v>1</v>
      </c>
      <c r="AAF461" s="585" t="s">
        <v>199</v>
      </c>
      <c r="AAG461" s="95"/>
      <c r="AAH461" s="95"/>
      <c r="AAI461" s="77"/>
      <c r="AAJ461" s="79"/>
      <c r="AAK461" s="79"/>
      <c r="AAL461" s="89" t="str">
        <f>"Save as "&amp;S.CodeName&amp;"PROOF.OF.SOS.FILING"</f>
        <v>Save as PROOF.OF.SOS.FILING</v>
      </c>
      <c r="AAM461" s="113"/>
      <c r="AAN461"/>
      <c r="AAT461" s="23"/>
      <c r="AAU461" s="44"/>
      <c r="AAV461" s="23"/>
      <c r="AAW461" s="23"/>
      <c r="AAX461" s="23"/>
      <c r="AAY461" s="23"/>
      <c r="AAZ461" s="23"/>
      <c r="ABA461" s="23"/>
      <c r="ABB461" s="23"/>
      <c r="ABC461" s="23"/>
      <c r="ABD461" s="23"/>
    </row>
    <row r="462" spans="1:732" ht="15.75" customHeight="1" outlineLevel="2">
      <c r="A462" s="560"/>
      <c r="B462" s="468" t="s">
        <v>368</v>
      </c>
      <c r="C462" s="202"/>
      <c r="D462" s="175"/>
      <c r="E462" s="161"/>
      <c r="F462" s="161"/>
      <c r="G462" s="175"/>
      <c r="H462" s="175"/>
      <c r="I462" s="590"/>
      <c r="J462" s="594"/>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20"/>
      <c r="ZZ462" s="36"/>
      <c r="AAA462" s="590"/>
      <c r="AAD462" s="113"/>
      <c r="AAE462" s="553">
        <v>1</v>
      </c>
      <c r="AAF462" s="585" t="s">
        <v>199</v>
      </c>
      <c r="AAG462" s="95"/>
      <c r="AAH462" s="95"/>
      <c r="AAI462" s="77"/>
      <c r="AAJ462" s="79"/>
      <c r="AAK462" s="79"/>
      <c r="AAL462" s="89" t="str">
        <f>"Save as "&amp;S.CodeName&amp;"LC.SHUTTLE.PROOF"</f>
        <v>Save as LC.SHUTTLE.PROOF</v>
      </c>
      <c r="AAM462" s="113"/>
      <c r="AAN462"/>
      <c r="AAT462" s="23"/>
      <c r="AAU462" s="44"/>
      <c r="AAV462" s="23"/>
      <c r="AAW462" s="23"/>
      <c r="AAX462" s="23"/>
      <c r="AAY462" s="23"/>
      <c r="AAZ462" s="23"/>
      <c r="ABA462" s="23"/>
      <c r="ABB462" s="23"/>
      <c r="ABC462" s="23"/>
      <c r="ABD462" s="23"/>
    </row>
    <row r="463" spans="1:732" s="23" customFormat="1" ht="18" customHeight="1" outlineLevel="2">
      <c r="A463" s="560"/>
      <c r="B463" s="536" t="str">
        <f>AAL463</f>
        <v>See DAS fee approval - Part 2 above</v>
      </c>
      <c r="C463" s="194"/>
      <c r="D463" s="278" t="s">
        <v>216</v>
      </c>
      <c r="E463" s="380">
        <f t="shared" ref="E463" si="1012">NETWORKDAYS(G463,H463,S.DDL_DEQClosed)</f>
        <v>78</v>
      </c>
      <c r="F463" s="381">
        <f ca="1">NETWORKDAYS(TODAY(),H463)</f>
        <v>105</v>
      </c>
      <c r="G463" s="383">
        <f>AAG463</f>
        <v>41414</v>
      </c>
      <c r="H463" s="383">
        <f>AAH463</f>
        <v>41527</v>
      </c>
      <c r="I463" s="62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590"/>
      <c r="AAB463"/>
      <c r="AAC463"/>
      <c r="AAD463" s="113"/>
      <c r="AAE463" s="553">
        <f>IF(AND(S.InvolveFee=TRUE,S.DASApprovalRequired=FALSE),1,0)</f>
        <v>0</v>
      </c>
      <c r="AAF463" s="113"/>
      <c r="AAG463" s="78">
        <f>S.BANNER.FeeStart</f>
        <v>41414</v>
      </c>
      <c r="AAH463" s="78">
        <f>S.SubmitStaffRpt</f>
        <v>41527</v>
      </c>
      <c r="AAI463" s="77"/>
      <c r="AAJ463" s="57"/>
      <c r="AAK463" s="57"/>
      <c r="AAL463" s="89" t="str">
        <f>IF(S.DASApprovalRequired=TRUE,"See DAS fee approval - Part 2 above",IF(S.InvolveFee=TRUE,"DAS notification for fees that don't require approval","No DAS involvement"))</f>
        <v>See DAS fee approval - Part 2 above</v>
      </c>
      <c r="AAM463" s="113"/>
      <c r="AAU463" s="44"/>
    </row>
    <row r="464" spans="1:732" s="23" customFormat="1" ht="15" outlineLevel="2">
      <c r="A464" s="560"/>
      <c r="B464" s="469" t="str">
        <f>AAL464</f>
        <v>a. FEE.EXCERPT.FROM.RULE</v>
      </c>
      <c r="C464" s="169"/>
      <c r="D464" s="176"/>
      <c r="E464" s="177"/>
      <c r="F464" s="177"/>
      <c r="G464" s="162"/>
      <c r="H464" s="162"/>
      <c r="I464" s="590"/>
      <c r="J464" s="594"/>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620"/>
      <c r="ZZ464" s="36"/>
      <c r="AAA464" s="590"/>
      <c r="AAB464"/>
      <c r="AAC464"/>
      <c r="AAD464" s="113"/>
      <c r="AAE464" s="553">
        <f>IF(AND(S.InvolveFee=TRUE,S.DASApprovalRequired=FALSE),1,0)</f>
        <v>0</v>
      </c>
      <c r="AAF464" s="585" t="s">
        <v>199</v>
      </c>
      <c r="AAG464" s="76"/>
      <c r="AAH464" s="76"/>
      <c r="AAI464" s="77"/>
      <c r="AAJ464" s="77"/>
      <c r="AAK464" s="77"/>
      <c r="AAL464" s="89" t="str">
        <f>"a. "&amp;S.CodeName&amp;"FEE.EXCERPT.FROM.RULE"</f>
        <v>a. FEE.EXCERPT.FROM.RULE</v>
      </c>
      <c r="AAM464" s="113"/>
      <c r="AAU464" s="44"/>
    </row>
    <row r="465" spans="1:732" s="23" customFormat="1" ht="15" outlineLevel="2">
      <c r="A465" s="560"/>
      <c r="B465" s="469" t="str">
        <f>AAL465</f>
        <v>b. FEE.EXEMPT.EMAIL</v>
      </c>
      <c r="C465" s="169"/>
      <c r="D465" s="176"/>
      <c r="E465" s="177"/>
      <c r="F465" s="177"/>
      <c r="G465" s="162"/>
      <c r="H465" s="162"/>
      <c r="I465" s="590"/>
      <c r="J465" s="594"/>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20"/>
      <c r="ZZ465" s="36"/>
      <c r="AAA465" s="590"/>
      <c r="AAB465"/>
      <c r="AAC465"/>
      <c r="AAD465" s="113"/>
      <c r="AAE465" s="553">
        <f>IF(AND(S.InvolveFee=TRUE,S.DASApprovalRequired=FALSE),1,0)</f>
        <v>0</v>
      </c>
      <c r="AAF465" s="585" t="s">
        <v>199</v>
      </c>
      <c r="AAG465" s="76"/>
      <c r="AAH465" s="76"/>
      <c r="AAI465" s="76"/>
      <c r="AAJ465" s="77"/>
      <c r="AAK465" s="77"/>
      <c r="AAL465" s="89" t="str">
        <f>"b. "&amp;S.CodeName&amp;"FEE.EXEMPT.EMAIL"</f>
        <v>b. FEE.EXEMPT.EMAIL</v>
      </c>
      <c r="AAM465" s="113"/>
      <c r="AAU465" s="44"/>
      <c r="AAV465"/>
      <c r="AAW465"/>
      <c r="AAX465"/>
      <c r="AAY465"/>
      <c r="AAZ465"/>
      <c r="ABA465"/>
      <c r="ABB465"/>
      <c r="ABC465"/>
      <c r="ABD465"/>
    </row>
    <row r="466" spans="1:732" s="23" customFormat="1" ht="15" outlineLevel="2">
      <c r="A466" s="560"/>
      <c r="B466" s="469" t="str">
        <f>AAL466</f>
        <v>c. DAS.SHUTTLE.PROOF</v>
      </c>
      <c r="C466" s="169"/>
      <c r="D466" s="176"/>
      <c r="E466" s="177"/>
      <c r="F466" s="177"/>
      <c r="G466" s="162"/>
      <c r="H466" s="162"/>
      <c r="I466" s="590"/>
      <c r="J466" s="594"/>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20"/>
      <c r="ZZ466" s="36"/>
      <c r="AAA466" s="590"/>
      <c r="AAB466"/>
      <c r="AAC466"/>
      <c r="AAD466" s="113"/>
      <c r="AAE466" s="553">
        <f>IF(AND(S.InvolveFee=TRUE,S.DASApprovalRequired=FALSE),1,0)</f>
        <v>0</v>
      </c>
      <c r="AAF466" s="585" t="s">
        <v>199</v>
      </c>
      <c r="AAG466" s="76"/>
      <c r="AAH466" s="76"/>
      <c r="AAI466" s="76"/>
      <c r="AAJ466" s="77"/>
      <c r="AAK466" s="77"/>
      <c r="AAL466" s="89" t="str">
        <f>"c. "&amp;S.CodeName&amp;"DAS.SHUTTLE.PROOF"</f>
        <v>c. DAS.SHUTTLE.PROOF</v>
      </c>
      <c r="AAM466" s="113"/>
      <c r="AAU466" s="44"/>
      <c r="AAV466"/>
      <c r="AAW466"/>
      <c r="AAX466"/>
      <c r="AAY466"/>
      <c r="AAZ466"/>
      <c r="ABA466"/>
      <c r="ABB466"/>
      <c r="ABC466"/>
      <c r="ABD466"/>
    </row>
    <row r="467" spans="1:732" ht="15.75" customHeight="1" outlineLevel="2">
      <c r="A467" s="560"/>
      <c r="B467" s="463" t="s">
        <v>187</v>
      </c>
      <c r="C467" s="697"/>
      <c r="D467" s="146"/>
      <c r="E467" s="161"/>
      <c r="F467" s="161"/>
      <c r="G467" s="162"/>
      <c r="H467" s="162"/>
      <c r="I467" s="590"/>
      <c r="J467" s="599"/>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5"/>
      <c r="IZ467" s="45"/>
      <c r="JA467" s="45"/>
      <c r="JB467" s="45"/>
      <c r="JC467" s="45"/>
      <c r="JD467" s="45"/>
      <c r="JE467" s="45"/>
      <c r="JF467" s="45"/>
      <c r="JG467" s="45"/>
      <c r="JH467" s="45"/>
      <c r="JI467" s="45"/>
      <c r="JJ467" s="45"/>
      <c r="JK467" s="45"/>
      <c r="JL467" s="45"/>
      <c r="JM467" s="45"/>
      <c r="JN467" s="45"/>
      <c r="JO467" s="45"/>
      <c r="JP467" s="45"/>
      <c r="JQ467" s="45"/>
      <c r="JR467" s="45"/>
      <c r="JS467" s="45"/>
      <c r="JT467" s="45"/>
      <c r="JU467" s="45"/>
      <c r="JV467" s="45"/>
      <c r="JW467" s="45"/>
      <c r="JX467" s="45"/>
      <c r="JY467" s="45"/>
      <c r="JZ467" s="45"/>
      <c r="KA467" s="45"/>
      <c r="KB467" s="45"/>
      <c r="KC467" s="45"/>
      <c r="KD467" s="45"/>
      <c r="KE467" s="45"/>
      <c r="KF467" s="45"/>
      <c r="KG467" s="45"/>
      <c r="KH467" s="45"/>
      <c r="KI467" s="45"/>
      <c r="KJ467" s="45"/>
      <c r="KK467" s="45"/>
      <c r="KL467" s="45"/>
      <c r="KM467" s="45"/>
      <c r="KN467" s="45"/>
      <c r="KO467" s="45"/>
      <c r="KP467" s="45"/>
      <c r="KQ467" s="45"/>
      <c r="KR467" s="45"/>
      <c r="KS467" s="45"/>
      <c r="KT467" s="45"/>
      <c r="KU467" s="45"/>
      <c r="KV467" s="45"/>
      <c r="KW467" s="45"/>
      <c r="KX467" s="45"/>
      <c r="KY467" s="45"/>
      <c r="KZ467" s="45"/>
      <c r="LA467" s="45"/>
      <c r="LB467" s="45"/>
      <c r="LC467" s="45"/>
      <c r="LD467" s="45"/>
      <c r="LE467" s="45"/>
      <c r="LF467" s="45"/>
      <c r="LG467" s="45"/>
      <c r="LH467" s="45"/>
      <c r="LI467" s="45"/>
      <c r="LJ467" s="45"/>
      <c r="LK467" s="45"/>
      <c r="LL467" s="45"/>
      <c r="LM467" s="45"/>
      <c r="LN467" s="45"/>
      <c r="LO467" s="45"/>
      <c r="LP467" s="45"/>
      <c r="LQ467" s="45"/>
      <c r="LR467" s="45"/>
      <c r="LS467" s="45"/>
      <c r="LT467" s="45"/>
      <c r="LU467" s="45"/>
      <c r="LV467" s="45"/>
      <c r="LW467" s="45"/>
      <c r="LX467" s="45"/>
      <c r="LY467" s="45"/>
      <c r="LZ467" s="45"/>
      <c r="MA467" s="45"/>
      <c r="MB467" s="45"/>
      <c r="MC467" s="45"/>
      <c r="MD467" s="45"/>
      <c r="ME467" s="45"/>
      <c r="MF467" s="45"/>
      <c r="MG467" s="45"/>
      <c r="MH467" s="45"/>
      <c r="MI467" s="45"/>
      <c r="MJ467" s="45"/>
      <c r="MK467" s="45"/>
      <c r="ML467" s="45"/>
      <c r="MM467" s="45"/>
      <c r="MN467" s="45"/>
      <c r="MO467" s="45"/>
      <c r="MP467" s="45"/>
      <c r="MQ467" s="45"/>
      <c r="MR467" s="45"/>
      <c r="MS467" s="45"/>
      <c r="MT467" s="45"/>
      <c r="MU467" s="45"/>
      <c r="MV467" s="45"/>
      <c r="MW467" s="45"/>
      <c r="MX467" s="45"/>
      <c r="MY467" s="45"/>
      <c r="MZ467" s="45"/>
      <c r="NA467" s="45"/>
      <c r="NB467" s="45"/>
      <c r="NC467" s="45"/>
      <c r="ND467" s="45"/>
      <c r="NE467" s="45"/>
      <c r="NF467" s="45"/>
      <c r="NG467" s="45"/>
      <c r="NH467" s="45"/>
      <c r="NI467" s="45"/>
      <c r="NJ467" s="45"/>
      <c r="NK467" s="45"/>
      <c r="NL467" s="45"/>
      <c r="NM467" s="45"/>
      <c r="NN467" s="45"/>
      <c r="NO467" s="45"/>
      <c r="NP467" s="45"/>
      <c r="NQ467" s="45"/>
      <c r="NR467" s="45"/>
      <c r="NS467" s="45"/>
      <c r="NT467" s="45"/>
      <c r="NU467" s="45"/>
      <c r="NV467" s="45"/>
      <c r="NW467" s="45"/>
      <c r="NX467" s="45"/>
      <c r="NY467" s="45"/>
      <c r="NZ467" s="45"/>
      <c r="OA467" s="45"/>
      <c r="OB467" s="45"/>
      <c r="OC467" s="45"/>
      <c r="OD467" s="45"/>
      <c r="OE467" s="45"/>
      <c r="OF467" s="45"/>
      <c r="OG467" s="45"/>
      <c r="OH467" s="45"/>
      <c r="OI467" s="45"/>
      <c r="OJ467" s="45"/>
      <c r="OK467" s="45"/>
      <c r="OL467" s="45"/>
      <c r="OM467" s="45"/>
      <c r="ON467" s="45"/>
      <c r="OO467" s="45"/>
      <c r="OP467" s="45"/>
      <c r="OQ467" s="45"/>
      <c r="OR467" s="45"/>
      <c r="OS467" s="45"/>
      <c r="OT467" s="45"/>
      <c r="OU467" s="45"/>
      <c r="OV467" s="45"/>
      <c r="OW467" s="45"/>
      <c r="OX467" s="45"/>
      <c r="OY467" s="45"/>
      <c r="OZ467" s="45"/>
      <c r="PA467" s="45"/>
      <c r="PB467" s="45"/>
      <c r="PC467" s="45"/>
      <c r="PD467" s="45"/>
      <c r="PE467" s="45"/>
      <c r="PF467" s="45"/>
      <c r="PG467" s="45"/>
      <c r="PH467" s="45"/>
      <c r="PI467" s="45"/>
      <c r="PJ467" s="45"/>
      <c r="PK467" s="45"/>
      <c r="PL467" s="45"/>
      <c r="PM467" s="45"/>
      <c r="PN467" s="45"/>
      <c r="PO467" s="45"/>
      <c r="PP467" s="45"/>
      <c r="PQ467" s="45"/>
      <c r="PR467" s="45"/>
      <c r="PS467" s="45"/>
      <c r="PT467" s="45"/>
      <c r="PU467" s="45"/>
      <c r="PV467" s="45"/>
      <c r="PW467" s="45"/>
      <c r="PX467" s="45"/>
      <c r="PY467" s="45"/>
      <c r="PZ467" s="45"/>
      <c r="QA467" s="45"/>
      <c r="QB467" s="45"/>
      <c r="QC467" s="45"/>
      <c r="QD467" s="45"/>
      <c r="QE467" s="45"/>
      <c r="QF467" s="45"/>
      <c r="QG467" s="45"/>
      <c r="QH467" s="45"/>
      <c r="QI467" s="45"/>
      <c r="QJ467" s="45"/>
      <c r="QK467" s="45"/>
      <c r="QL467" s="45"/>
      <c r="QM467" s="45"/>
      <c r="QN467" s="45"/>
      <c r="QO467" s="45"/>
      <c r="QP467" s="45"/>
      <c r="QQ467" s="45"/>
      <c r="QR467" s="45"/>
      <c r="QS467" s="45"/>
      <c r="QT467" s="45"/>
      <c r="QU467" s="45"/>
      <c r="QV467" s="45"/>
      <c r="QW467" s="45"/>
      <c r="QX467" s="45"/>
      <c r="QY467" s="45"/>
      <c r="QZ467" s="45"/>
      <c r="RA467" s="45"/>
      <c r="RB467" s="45"/>
      <c r="RC467" s="45"/>
      <c r="RD467" s="45"/>
      <c r="RE467" s="45"/>
      <c r="RF467" s="45"/>
      <c r="RG467" s="45"/>
      <c r="RH467" s="45"/>
      <c r="RI467" s="45"/>
      <c r="RJ467" s="45"/>
      <c r="RK467" s="45"/>
      <c r="RL467" s="45"/>
      <c r="RM467" s="45"/>
      <c r="RN467" s="45"/>
      <c r="RO467" s="45"/>
      <c r="RP467" s="45"/>
      <c r="RQ467" s="45"/>
      <c r="RR467" s="45"/>
      <c r="RS467" s="45"/>
      <c r="RT467" s="45"/>
      <c r="RU467" s="45"/>
      <c r="RV467" s="45"/>
      <c r="RW467" s="45"/>
      <c r="RX467" s="45"/>
      <c r="RY467" s="45"/>
      <c r="RZ467" s="45"/>
      <c r="SA467" s="45"/>
      <c r="SB467" s="45"/>
      <c r="SC467" s="45"/>
      <c r="SD467" s="45"/>
      <c r="SE467" s="45"/>
      <c r="SF467" s="45"/>
      <c r="SG467" s="45"/>
      <c r="SH467" s="45"/>
      <c r="SI467" s="45"/>
      <c r="SJ467" s="45"/>
      <c r="SK467" s="45"/>
      <c r="SL467" s="45"/>
      <c r="SM467" s="45"/>
      <c r="SN467" s="45"/>
      <c r="SO467" s="45"/>
      <c r="SP467" s="45"/>
      <c r="SQ467" s="45"/>
      <c r="SR467" s="45"/>
      <c r="SS467" s="45"/>
      <c r="ST467" s="45"/>
      <c r="SU467" s="45"/>
      <c r="SV467" s="45"/>
      <c r="SW467" s="45"/>
      <c r="SX467" s="45"/>
      <c r="SY467" s="45"/>
      <c r="SZ467" s="45"/>
      <c r="TA467" s="45"/>
      <c r="TB467" s="45"/>
      <c r="TC467" s="45"/>
      <c r="TD467" s="45"/>
      <c r="TE467" s="45"/>
      <c r="TF467" s="45"/>
      <c r="TG467" s="45"/>
      <c r="TH467" s="45"/>
      <c r="TI467" s="45"/>
      <c r="TJ467" s="45"/>
      <c r="TK467" s="45"/>
      <c r="TL467" s="45"/>
      <c r="TM467" s="45"/>
      <c r="TN467" s="45"/>
      <c r="TO467" s="45"/>
      <c r="TP467" s="45"/>
      <c r="TQ467" s="45"/>
      <c r="TR467" s="45"/>
      <c r="TS467" s="45"/>
      <c r="TT467" s="45"/>
      <c r="TU467" s="45"/>
      <c r="TV467" s="45"/>
      <c r="TW467" s="45"/>
      <c r="TX467" s="45"/>
      <c r="TY467" s="45"/>
      <c r="TZ467" s="45"/>
      <c r="UA467" s="45"/>
      <c r="UB467" s="45"/>
      <c r="UC467" s="45"/>
      <c r="UD467" s="45"/>
      <c r="UE467" s="45"/>
      <c r="UF467" s="45"/>
      <c r="UG467" s="45"/>
      <c r="UH467" s="45"/>
      <c r="UI467" s="45"/>
      <c r="UJ467" s="45"/>
      <c r="UK467" s="45"/>
      <c r="UL467" s="45"/>
      <c r="UM467" s="45"/>
      <c r="UN467" s="45"/>
      <c r="UO467" s="45"/>
      <c r="UP467" s="45"/>
      <c r="UQ467" s="45"/>
      <c r="UR467" s="45"/>
      <c r="US467" s="45"/>
      <c r="UT467" s="45"/>
      <c r="UU467" s="45"/>
      <c r="UV467" s="45"/>
      <c r="UW467" s="45"/>
      <c r="UX467" s="45"/>
      <c r="UY467" s="45"/>
      <c r="UZ467" s="45"/>
      <c r="VA467" s="45"/>
      <c r="VB467" s="45"/>
      <c r="VC467" s="45"/>
      <c r="VD467" s="45"/>
      <c r="VE467" s="45"/>
      <c r="VF467" s="45"/>
      <c r="VG467" s="45"/>
      <c r="VH467" s="45"/>
      <c r="VI467" s="45"/>
      <c r="VJ467" s="45"/>
      <c r="VK467" s="45"/>
      <c r="VL467" s="45"/>
      <c r="VM467" s="45"/>
      <c r="VN467" s="45"/>
      <c r="VO467" s="45"/>
      <c r="VP467" s="45"/>
      <c r="VQ467" s="45"/>
      <c r="VR467" s="45"/>
      <c r="VS467" s="45"/>
      <c r="VT467" s="45"/>
      <c r="VU467" s="45"/>
      <c r="VV467" s="45"/>
      <c r="VW467" s="45"/>
      <c r="VX467" s="45"/>
      <c r="VY467" s="45"/>
      <c r="VZ467" s="45"/>
      <c r="WA467" s="45"/>
      <c r="WB467" s="45"/>
      <c r="WC467" s="45"/>
      <c r="WD467" s="45"/>
      <c r="WE467" s="45"/>
      <c r="WF467" s="45"/>
      <c r="WG467" s="45"/>
      <c r="WH467" s="45"/>
      <c r="WI467" s="45"/>
      <c r="WJ467" s="45"/>
      <c r="WK467" s="45"/>
      <c r="WL467" s="45"/>
      <c r="WM467" s="45"/>
      <c r="WN467" s="45"/>
      <c r="WO467" s="45"/>
      <c r="WP467" s="45"/>
      <c r="WQ467" s="45"/>
      <c r="WR467" s="45"/>
      <c r="WS467" s="45"/>
      <c r="WT467" s="45"/>
      <c r="WU467" s="45"/>
      <c r="WV467" s="45"/>
      <c r="WW467" s="45"/>
      <c r="WX467" s="45"/>
      <c r="WY467" s="45"/>
      <c r="WZ467" s="45"/>
      <c r="XA467" s="45"/>
      <c r="XB467" s="45"/>
      <c r="XC467" s="45"/>
      <c r="XD467" s="45"/>
      <c r="XE467" s="45"/>
      <c r="XF467" s="45"/>
      <c r="XG467" s="45"/>
      <c r="XH467" s="45"/>
      <c r="XI467" s="45"/>
      <c r="XJ467" s="45"/>
      <c r="XK467" s="45"/>
      <c r="XL467" s="45"/>
      <c r="XM467" s="45"/>
      <c r="XN467" s="45"/>
      <c r="XO467" s="45"/>
      <c r="XP467" s="45"/>
      <c r="XQ467" s="45"/>
      <c r="XR467" s="45"/>
      <c r="XS467" s="45"/>
      <c r="XT467" s="45"/>
      <c r="XU467" s="45"/>
      <c r="XV467" s="45"/>
      <c r="XW467" s="45"/>
      <c r="XX467" s="45"/>
      <c r="XY467" s="45"/>
      <c r="XZ467" s="45"/>
      <c r="YA467" s="45"/>
      <c r="YB467" s="45"/>
      <c r="YC467" s="45"/>
      <c r="YD467" s="45"/>
      <c r="YE467" s="45"/>
      <c r="YF467" s="45"/>
      <c r="YG467" s="45"/>
      <c r="YH467" s="45"/>
      <c r="YI467" s="45"/>
      <c r="YJ467" s="45"/>
      <c r="YK467" s="45"/>
      <c r="YL467" s="45"/>
      <c r="YM467" s="45"/>
      <c r="YN467" s="45"/>
      <c r="YO467" s="45"/>
      <c r="YP467" s="45"/>
      <c r="YQ467" s="45"/>
      <c r="YR467" s="45"/>
      <c r="YS467" s="45"/>
      <c r="YT467" s="45"/>
      <c r="YU467" s="45"/>
      <c r="YV467" s="45"/>
      <c r="YW467" s="45"/>
      <c r="YX467" s="45"/>
      <c r="YY467" s="45"/>
      <c r="YZ467" s="45"/>
      <c r="ZA467" s="45"/>
      <c r="ZB467" s="45"/>
      <c r="ZC467" s="45"/>
      <c r="ZD467" s="45"/>
      <c r="ZE467" s="45"/>
      <c r="ZF467" s="45"/>
      <c r="ZG467" s="45"/>
      <c r="ZH467" s="45"/>
      <c r="ZI467" s="45"/>
      <c r="ZJ467" s="45"/>
      <c r="ZK467" s="45"/>
      <c r="ZL467" s="45"/>
      <c r="ZM467" s="45"/>
      <c r="ZN467" s="45"/>
      <c r="ZO467" s="45"/>
      <c r="ZP467" s="45"/>
      <c r="ZQ467" s="45"/>
      <c r="ZR467" s="45"/>
      <c r="ZS467" s="45"/>
      <c r="ZT467" s="45"/>
      <c r="ZU467" s="45"/>
      <c r="ZV467" s="45"/>
      <c r="ZW467" s="45"/>
      <c r="ZX467" s="45"/>
      <c r="ZY467" s="623"/>
      <c r="ZZ467" s="626"/>
      <c r="AAA467" s="590"/>
      <c r="AAD467" s="113"/>
      <c r="AAE467" s="553">
        <v>1</v>
      </c>
      <c r="AAF467" s="585" t="s">
        <v>199</v>
      </c>
      <c r="AAG467" s="63"/>
      <c r="AAH467" s="63"/>
      <c r="AAI467" s="63"/>
      <c r="AAJ467" s="59"/>
      <c r="AAK467" s="59"/>
      <c r="AAL467" s="54"/>
      <c r="AAM467" s="113"/>
      <c r="AAN467"/>
      <c r="AAT467" s="23"/>
      <c r="AAU467" s="44"/>
    </row>
    <row r="468" spans="1:732" ht="15.75" customHeight="1" outlineLevel="2">
      <c r="A468" s="560"/>
      <c r="B468" s="475" t="s">
        <v>135</v>
      </c>
      <c r="C468" s="169"/>
      <c r="D468" s="278"/>
      <c r="E468" s="369">
        <f t="shared" ref="E468" si="1013">NETWORKDAYS(G468,H468,S.DDL_DEQClosed)</f>
        <v>1</v>
      </c>
      <c r="F468" s="373">
        <f t="shared" ref="F468" ca="1" si="1014">NETWORKDAYS(TODAY(),H468)</f>
        <v>174</v>
      </c>
      <c r="G468" s="450">
        <f t="shared" ref="G468:H468" si="1015">AAG468</f>
        <v>41624</v>
      </c>
      <c r="H468" s="450">
        <f t="shared" si="1015"/>
        <v>41624</v>
      </c>
      <c r="I468" s="629"/>
      <c r="J468" s="594"/>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50"/>
      <c r="ZZ468" s="50"/>
      <c r="AAA468" s="590"/>
      <c r="AAD468" s="113"/>
      <c r="AAE468" s="553">
        <v>1</v>
      </c>
      <c r="AAF468" s="113"/>
      <c r="AAG468" s="78">
        <f>S.BANNER.PostEQCStart</f>
        <v>41624</v>
      </c>
      <c r="AAH468" s="78">
        <f>S.BANNER.PostEQCEnd</f>
        <v>41624</v>
      </c>
      <c r="AAI468" s="77"/>
      <c r="AAJ468" s="60"/>
      <c r="AAK468" s="60"/>
      <c r="AAL468" s="42"/>
      <c r="AAM468" s="113"/>
      <c r="AAN468"/>
      <c r="AAT468" s="23"/>
      <c r="AAU468" s="44"/>
    </row>
    <row r="469" spans="1:732" ht="15">
      <c r="A469" s="560"/>
      <c r="B469" s="145"/>
      <c r="C469" s="697"/>
      <c r="D469" s="146"/>
      <c r="E469" s="147"/>
      <c r="F469" s="147"/>
      <c r="G469" s="146"/>
      <c r="H469" s="334" t="str">
        <f ca="1">CELL("address")</f>
        <v>$A$1</v>
      </c>
      <c r="I469" s="590"/>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c r="DL469" s="36"/>
      <c r="DM469" s="36"/>
      <c r="DN469" s="36"/>
      <c r="DO469" s="36"/>
      <c r="DP469" s="36"/>
      <c r="DQ469" s="36"/>
      <c r="DR469" s="36"/>
      <c r="DS469" s="36"/>
      <c r="DT469" s="36"/>
      <c r="DU469" s="36"/>
      <c r="DV469" s="36"/>
      <c r="DW469" s="36"/>
      <c r="DX469" s="36"/>
      <c r="DY469" s="36"/>
      <c r="DZ469" s="36"/>
      <c r="EA469" s="36"/>
      <c r="EB469" s="36"/>
      <c r="EC469" s="36"/>
      <c r="ED469" s="36"/>
      <c r="EE469" s="36"/>
      <c r="EF469" s="36"/>
      <c r="EG469" s="36"/>
      <c r="EH469" s="36"/>
      <c r="EI469" s="36"/>
      <c r="EJ469" s="36"/>
      <c r="EK469" s="36"/>
      <c r="EL469" s="36"/>
      <c r="EM469" s="36"/>
      <c r="EN469" s="36"/>
      <c r="EO469" s="36"/>
      <c r="EP469" s="36"/>
      <c r="EQ469" s="36"/>
      <c r="ER469" s="36"/>
      <c r="ES469" s="36"/>
      <c r="ET469" s="36"/>
      <c r="EU469" s="36"/>
      <c r="EV469" s="36"/>
      <c r="EW469" s="36"/>
      <c r="EX469" s="36"/>
      <c r="EY469" s="36"/>
      <c r="EZ469" s="36"/>
      <c r="FA469" s="36"/>
      <c r="FB469" s="36"/>
      <c r="FC469" s="36"/>
      <c r="FD469" s="36"/>
      <c r="FE469" s="36"/>
      <c r="FF469" s="36"/>
      <c r="FG469" s="36"/>
      <c r="FH469" s="36"/>
      <c r="FI469" s="36"/>
      <c r="FJ469" s="36"/>
      <c r="FK469" s="36"/>
      <c r="FL469" s="36"/>
      <c r="FM469" s="36"/>
      <c r="FN469" s="36"/>
      <c r="FO469" s="36"/>
      <c r="FP469" s="36"/>
      <c r="FQ469" s="36"/>
      <c r="FR469" s="36"/>
      <c r="FS469" s="36"/>
      <c r="FT469" s="36"/>
      <c r="FU469" s="36"/>
      <c r="FV469" s="36"/>
      <c r="FW469" s="36"/>
      <c r="FX469" s="36"/>
      <c r="FY469" s="36"/>
      <c r="FZ469" s="36"/>
      <c r="GA469" s="36"/>
      <c r="GB469" s="36"/>
      <c r="GC469" s="36"/>
      <c r="GD469" s="36"/>
      <c r="GE469" s="36"/>
      <c r="GF469" s="36"/>
      <c r="GG469" s="36"/>
      <c r="GH469" s="36"/>
      <c r="GI469" s="36"/>
      <c r="GJ469" s="36"/>
      <c r="GK469" s="36"/>
      <c r="GL469" s="36"/>
      <c r="GM469" s="36"/>
      <c r="GN469" s="36"/>
      <c r="GO469" s="36"/>
      <c r="GP469" s="36"/>
      <c r="GQ469" s="36"/>
      <c r="GR469" s="36"/>
      <c r="GS469" s="36"/>
      <c r="GT469" s="36"/>
      <c r="GU469" s="36"/>
      <c r="GV469" s="36"/>
      <c r="GW469" s="36"/>
      <c r="GX469" s="36"/>
      <c r="GY469" s="36"/>
      <c r="GZ469" s="36"/>
      <c r="HA469" s="36"/>
      <c r="HB469" s="36"/>
      <c r="HC469" s="36"/>
      <c r="HD469" s="36"/>
      <c r="HE469" s="36"/>
      <c r="HF469" s="36"/>
      <c r="HG469" s="36"/>
      <c r="HH469" s="36"/>
      <c r="HI469" s="36"/>
      <c r="HJ469" s="36"/>
      <c r="HK469" s="36"/>
      <c r="HL469" s="36"/>
      <c r="HM469" s="36"/>
      <c r="HN469" s="36"/>
      <c r="HO469" s="36"/>
      <c r="HP469" s="36"/>
      <c r="HQ469" s="36"/>
      <c r="HR469" s="36"/>
      <c r="HS469" s="36"/>
      <c r="HT469" s="36"/>
      <c r="HU469" s="36"/>
      <c r="HV469" s="36"/>
      <c r="HW469" s="36"/>
      <c r="HX469" s="36"/>
      <c r="HY469" s="36"/>
      <c r="HZ469" s="36"/>
      <c r="IA469" s="36"/>
      <c r="IB469" s="36"/>
      <c r="IC469" s="36"/>
      <c r="ID469" s="36"/>
      <c r="IE469" s="36"/>
      <c r="IF469" s="36"/>
      <c r="IG469" s="36"/>
      <c r="IH469" s="36"/>
      <c r="II469" s="36"/>
      <c r="IJ469" s="36"/>
      <c r="IK469" s="36"/>
      <c r="IL469" s="36"/>
      <c r="IM469" s="36"/>
      <c r="IN469" s="36"/>
      <c r="IO469" s="36"/>
      <c r="IP469" s="36"/>
      <c r="IQ469" s="36"/>
      <c r="IR469" s="36"/>
      <c r="IS469" s="36"/>
      <c r="IT469" s="36"/>
      <c r="IU469" s="36"/>
      <c r="IV469" s="36"/>
      <c r="IW469" s="36"/>
      <c r="IX469" s="36"/>
      <c r="IY469" s="36"/>
      <c r="IZ469" s="36"/>
      <c r="JA469" s="36"/>
      <c r="JB469" s="36"/>
      <c r="JC469" s="36"/>
      <c r="JD469" s="36"/>
      <c r="JE469" s="36"/>
      <c r="JF469" s="36"/>
      <c r="JG469" s="36"/>
      <c r="JH469" s="36"/>
      <c r="JI469" s="36"/>
      <c r="JJ469" s="36"/>
      <c r="JK469" s="36"/>
      <c r="JL469" s="36"/>
      <c r="JM469" s="36"/>
      <c r="JN469" s="36"/>
      <c r="JO469" s="36"/>
      <c r="JP469" s="36"/>
      <c r="JQ469" s="36"/>
      <c r="JR469" s="36"/>
      <c r="JS469" s="36"/>
      <c r="JT469" s="36"/>
      <c r="JU469" s="36"/>
      <c r="JV469" s="36"/>
      <c r="JW469" s="36"/>
      <c r="JX469" s="36"/>
      <c r="JY469" s="36"/>
      <c r="JZ469" s="36"/>
      <c r="KA469" s="36"/>
      <c r="KB469" s="36"/>
      <c r="KC469" s="36"/>
      <c r="KD469" s="36"/>
      <c r="KE469" s="36"/>
      <c r="KF469" s="36"/>
      <c r="KG469" s="36"/>
      <c r="KH469" s="36"/>
      <c r="KI469" s="36"/>
      <c r="KJ469" s="36"/>
      <c r="KK469" s="36"/>
      <c r="KL469" s="36"/>
      <c r="KM469" s="36"/>
      <c r="KN469" s="36"/>
      <c r="KO469" s="36"/>
      <c r="KP469" s="36"/>
      <c r="KQ469" s="36"/>
      <c r="KR469" s="36"/>
      <c r="KS469" s="36"/>
      <c r="KT469" s="36"/>
      <c r="KU469" s="36"/>
      <c r="KV469" s="36"/>
      <c r="KW469" s="36"/>
      <c r="KX469" s="36"/>
      <c r="KY469" s="36"/>
      <c r="KZ469" s="36"/>
      <c r="LA469" s="36"/>
      <c r="LB469" s="36"/>
      <c r="LC469" s="36"/>
      <c r="LD469" s="36"/>
      <c r="LE469" s="36"/>
      <c r="LF469" s="36"/>
      <c r="LG469" s="36"/>
      <c r="LH469" s="36"/>
      <c r="LI469" s="36"/>
      <c r="LJ469" s="36"/>
      <c r="LK469" s="36"/>
      <c r="LL469" s="36"/>
      <c r="LM469" s="36"/>
      <c r="LN469" s="36"/>
      <c r="LO469" s="36"/>
      <c r="LP469" s="36"/>
      <c r="LQ469" s="36"/>
      <c r="LR469" s="36"/>
      <c r="LS469" s="36"/>
      <c r="LT469" s="36"/>
      <c r="LU469" s="36"/>
      <c r="LV469" s="36"/>
      <c r="LW469" s="36"/>
      <c r="LX469" s="36"/>
      <c r="LY469" s="36"/>
      <c r="LZ469" s="36"/>
      <c r="MA469" s="36"/>
      <c r="MB469" s="36"/>
      <c r="MC469" s="36"/>
      <c r="MD469" s="36"/>
      <c r="ME469" s="36"/>
      <c r="MF469" s="36"/>
      <c r="MG469" s="36"/>
      <c r="MH469" s="36"/>
      <c r="MI469" s="36"/>
      <c r="MJ469" s="36"/>
      <c r="MK469" s="36"/>
      <c r="ML469" s="36"/>
      <c r="MM469" s="36"/>
      <c r="MN469" s="36"/>
      <c r="MO469" s="36"/>
      <c r="MP469" s="36"/>
      <c r="MQ469" s="36"/>
      <c r="MR469" s="36"/>
      <c r="MS469" s="36"/>
      <c r="MT469" s="36"/>
      <c r="MU469" s="36"/>
      <c r="MV469" s="36"/>
      <c r="MW469" s="36"/>
      <c r="MX469" s="36"/>
      <c r="MY469" s="36"/>
      <c r="MZ469" s="36"/>
      <c r="NA469" s="36"/>
      <c r="NB469" s="36"/>
      <c r="NC469" s="36"/>
      <c r="ND469" s="36"/>
      <c r="NE469" s="36"/>
      <c r="NF469" s="36"/>
      <c r="NG469" s="36"/>
      <c r="NH469" s="36"/>
      <c r="NI469" s="36"/>
      <c r="NJ469" s="36"/>
      <c r="NK469" s="36"/>
      <c r="NL469" s="36"/>
      <c r="NM469" s="36"/>
      <c r="NN469" s="36"/>
      <c r="NO469" s="36"/>
      <c r="NP469" s="36"/>
      <c r="NQ469" s="36"/>
      <c r="NR469" s="36"/>
      <c r="NS469" s="36"/>
      <c r="NT469" s="36"/>
      <c r="NU469" s="36"/>
      <c r="NV469" s="36"/>
      <c r="NW469" s="36"/>
      <c r="NX469" s="36"/>
      <c r="NY469" s="36"/>
      <c r="NZ469" s="36"/>
      <c r="OA469" s="36"/>
      <c r="OB469" s="36"/>
      <c r="OC469" s="36"/>
      <c r="OD469" s="36"/>
      <c r="OE469" s="36"/>
      <c r="OF469" s="36"/>
      <c r="OG469" s="36"/>
      <c r="OH469" s="36"/>
      <c r="OI469" s="36"/>
      <c r="OJ469" s="36"/>
      <c r="OK469" s="36"/>
      <c r="OL469" s="36"/>
      <c r="OM469" s="36"/>
      <c r="ON469" s="36"/>
      <c r="OO469" s="36"/>
      <c r="OP469" s="36"/>
      <c r="OQ469" s="36"/>
      <c r="OR469" s="36"/>
      <c r="OS469" s="36"/>
      <c r="OT469" s="36"/>
      <c r="OU469" s="36"/>
      <c r="OV469" s="36"/>
      <c r="OW469" s="36"/>
      <c r="OX469" s="36"/>
      <c r="OY469" s="36"/>
      <c r="OZ469" s="36"/>
      <c r="PA469" s="36"/>
      <c r="PB469" s="36"/>
      <c r="PC469" s="36"/>
      <c r="PD469" s="36"/>
      <c r="PE469" s="36"/>
      <c r="PF469" s="36"/>
      <c r="PG469" s="36"/>
      <c r="PH469" s="36"/>
      <c r="PI469" s="36"/>
      <c r="PJ469" s="36"/>
      <c r="PK469" s="36"/>
      <c r="PL469" s="36"/>
      <c r="PM469" s="36"/>
      <c r="PN469" s="36"/>
      <c r="PO469" s="36"/>
      <c r="PP469" s="36"/>
      <c r="PQ469" s="36"/>
      <c r="PR469" s="36"/>
      <c r="PS469" s="36"/>
      <c r="PT469" s="36"/>
      <c r="PU469" s="36"/>
      <c r="PV469" s="36"/>
      <c r="PW469" s="36"/>
      <c r="PX469" s="36"/>
      <c r="PY469" s="36"/>
      <c r="PZ469" s="36"/>
      <c r="QA469" s="36"/>
      <c r="QB469" s="36"/>
      <c r="QC469" s="36"/>
      <c r="QD469" s="36"/>
      <c r="QE469" s="36"/>
      <c r="QF469" s="36"/>
      <c r="QG469" s="36"/>
      <c r="QH469" s="36"/>
      <c r="QI469" s="36"/>
      <c r="QJ469" s="36"/>
      <c r="QK469" s="36"/>
      <c r="QL469" s="36"/>
      <c r="QM469" s="36"/>
      <c r="QN469" s="36"/>
      <c r="QO469" s="36"/>
      <c r="QP469" s="36"/>
      <c r="QQ469" s="36"/>
      <c r="QR469" s="36"/>
      <c r="QS469" s="36"/>
      <c r="QT469" s="36"/>
      <c r="QU469" s="36"/>
      <c r="QV469" s="36"/>
      <c r="QW469" s="36"/>
      <c r="QX469" s="36"/>
      <c r="QY469" s="36"/>
      <c r="QZ469" s="36"/>
      <c r="RA469" s="36"/>
      <c r="RB469" s="36"/>
      <c r="RC469" s="36"/>
      <c r="RD469" s="36"/>
      <c r="RE469" s="36"/>
      <c r="RF469" s="36"/>
      <c r="RG469" s="36"/>
      <c r="RH469" s="36"/>
      <c r="RI469" s="36"/>
      <c r="RJ469" s="36"/>
      <c r="RK469" s="36"/>
      <c r="RL469" s="36"/>
      <c r="RM469" s="36"/>
      <c r="RN469" s="36"/>
      <c r="RO469" s="36"/>
      <c r="RP469" s="36"/>
      <c r="RQ469" s="36"/>
      <c r="RR469" s="36"/>
      <c r="RS469" s="36"/>
      <c r="RT469" s="36"/>
      <c r="RU469" s="36"/>
      <c r="RV469" s="36"/>
      <c r="RW469" s="36"/>
      <c r="RX469" s="36"/>
      <c r="RY469" s="36"/>
      <c r="RZ469" s="36"/>
      <c r="SA469" s="36"/>
      <c r="SB469" s="36"/>
      <c r="SC469" s="36"/>
      <c r="SD469" s="36"/>
      <c r="SE469" s="36"/>
      <c r="SF469" s="36"/>
      <c r="SG469" s="36"/>
      <c r="SH469" s="36"/>
      <c r="SI469" s="36"/>
      <c r="SJ469" s="36"/>
      <c r="SK469" s="36"/>
      <c r="SL469" s="36"/>
      <c r="SM469" s="36"/>
      <c r="SN469" s="36"/>
      <c r="SO469" s="36"/>
      <c r="SP469" s="36"/>
      <c r="SQ469" s="36"/>
      <c r="SR469" s="36"/>
      <c r="SS469" s="36"/>
      <c r="ST469" s="36"/>
      <c r="SU469" s="36"/>
      <c r="SV469" s="36"/>
      <c r="SW469" s="36"/>
      <c r="SX469" s="36"/>
      <c r="SY469" s="36"/>
      <c r="SZ469" s="36"/>
      <c r="TA469" s="36"/>
      <c r="TB469" s="36"/>
      <c r="TC469" s="36"/>
      <c r="TD469" s="36"/>
      <c r="TE469" s="36"/>
      <c r="TF469" s="36"/>
      <c r="TG469" s="36"/>
      <c r="TH469" s="36"/>
      <c r="TI469" s="36"/>
      <c r="TJ469" s="36"/>
      <c r="TK469" s="36"/>
      <c r="TL469" s="36"/>
      <c r="TM469" s="36"/>
      <c r="TN469" s="36"/>
      <c r="TO469" s="36"/>
      <c r="TP469" s="36"/>
      <c r="TQ469" s="36"/>
      <c r="TR469" s="36"/>
      <c r="TS469" s="36"/>
      <c r="TT469" s="36"/>
      <c r="TU469" s="36"/>
      <c r="TV469" s="36"/>
      <c r="TW469" s="36"/>
      <c r="TX469" s="36"/>
      <c r="TY469" s="36"/>
      <c r="TZ469" s="36"/>
      <c r="UA469" s="36"/>
      <c r="UB469" s="36"/>
      <c r="UC469" s="36"/>
      <c r="UD469" s="36"/>
      <c r="UE469" s="36"/>
      <c r="UF469" s="36"/>
      <c r="UG469" s="36"/>
      <c r="UH469" s="36"/>
      <c r="UI469" s="36"/>
      <c r="UJ469" s="36"/>
      <c r="UK469" s="36"/>
      <c r="UL469" s="36"/>
      <c r="UM469" s="36"/>
      <c r="UN469" s="36"/>
      <c r="UO469" s="36"/>
      <c r="UP469" s="36"/>
      <c r="UQ469" s="36"/>
      <c r="UR469" s="36"/>
      <c r="US469" s="36"/>
      <c r="UT469" s="36"/>
      <c r="UU469" s="36"/>
      <c r="UV469" s="36"/>
      <c r="UW469" s="36"/>
      <c r="UX469" s="36"/>
      <c r="UY469" s="36"/>
      <c r="UZ469" s="36"/>
      <c r="VA469" s="36"/>
      <c r="VB469" s="36"/>
      <c r="VC469" s="36"/>
      <c r="VD469" s="36"/>
      <c r="VE469" s="36"/>
      <c r="VF469" s="36"/>
      <c r="VG469" s="36"/>
      <c r="VH469" s="36"/>
      <c r="VI469" s="36"/>
      <c r="VJ469" s="36"/>
      <c r="VK469" s="36"/>
      <c r="VL469" s="36"/>
      <c r="VM469" s="36"/>
      <c r="VN469" s="36"/>
      <c r="VO469" s="36"/>
      <c r="VP469" s="36"/>
      <c r="VQ469" s="36"/>
      <c r="VR469" s="36"/>
      <c r="VS469" s="36"/>
      <c r="VT469" s="36"/>
      <c r="VU469" s="36"/>
      <c r="VV469" s="36"/>
      <c r="VW469" s="36"/>
      <c r="VX469" s="36"/>
      <c r="VY469" s="36"/>
      <c r="VZ469" s="36"/>
      <c r="WA469" s="36"/>
      <c r="WB469" s="36"/>
      <c r="WC469" s="36"/>
      <c r="WD469" s="36"/>
      <c r="WE469" s="36"/>
      <c r="WF469" s="36"/>
      <c r="WG469" s="36"/>
      <c r="WH469" s="36"/>
      <c r="WI469" s="36"/>
      <c r="WJ469" s="36"/>
      <c r="WK469" s="36"/>
      <c r="WL469" s="36"/>
      <c r="WM469" s="36"/>
      <c r="WN469" s="36"/>
      <c r="WO469" s="36"/>
      <c r="WP469" s="36"/>
      <c r="WQ469" s="36"/>
      <c r="WR469" s="36"/>
      <c r="WS469" s="36"/>
      <c r="WT469" s="36"/>
      <c r="WU469" s="36"/>
      <c r="WV469" s="36"/>
      <c r="WW469" s="36"/>
      <c r="WX469" s="36"/>
      <c r="WY469" s="36"/>
      <c r="WZ469" s="36"/>
      <c r="XA469" s="36"/>
      <c r="XB469" s="36"/>
      <c r="XC469" s="36"/>
      <c r="XD469" s="36"/>
      <c r="XE469" s="36"/>
      <c r="XF469" s="36"/>
      <c r="XG469" s="36"/>
      <c r="XH469" s="36"/>
      <c r="XI469" s="36"/>
      <c r="XJ469" s="36"/>
      <c r="XK469" s="36"/>
      <c r="XL469" s="36"/>
      <c r="XM469" s="36"/>
      <c r="XN469" s="36"/>
      <c r="XO469" s="36"/>
      <c r="XP469" s="36"/>
      <c r="XQ469" s="36"/>
      <c r="XR469" s="36"/>
      <c r="XS469" s="36"/>
      <c r="XT469" s="36"/>
      <c r="XU469" s="36"/>
      <c r="XV469" s="36"/>
      <c r="XW469" s="36"/>
      <c r="XX469" s="36"/>
      <c r="XY469" s="36"/>
      <c r="XZ469" s="36"/>
      <c r="YA469" s="36"/>
      <c r="YB469" s="36"/>
      <c r="YC469" s="36"/>
      <c r="YD469" s="36"/>
      <c r="YE469" s="36"/>
      <c r="YF469" s="36"/>
      <c r="YG469" s="36"/>
      <c r="YH469" s="36"/>
      <c r="YI469" s="36"/>
      <c r="YJ469" s="36"/>
      <c r="YK469" s="36"/>
      <c r="YL469" s="36"/>
      <c r="YM469" s="36"/>
      <c r="YN469" s="36"/>
      <c r="YO469" s="36"/>
      <c r="YP469" s="36"/>
      <c r="YQ469" s="36"/>
      <c r="YR469" s="36"/>
      <c r="YS469" s="36"/>
      <c r="YT469" s="36"/>
      <c r="YU469" s="36"/>
      <c r="YV469" s="36"/>
      <c r="YW469" s="36"/>
      <c r="YX469" s="36"/>
      <c r="YY469" s="36"/>
      <c r="YZ469" s="36"/>
      <c r="ZA469" s="36"/>
      <c r="ZB469" s="36"/>
      <c r="ZC469" s="36"/>
      <c r="ZD469" s="36"/>
      <c r="ZE469" s="36"/>
      <c r="ZF469" s="36"/>
      <c r="ZG469" s="36"/>
      <c r="ZH469" s="36"/>
      <c r="ZI469" s="36"/>
      <c r="ZJ469" s="36"/>
      <c r="ZK469" s="36"/>
      <c r="ZL469" s="36"/>
      <c r="ZM469" s="36"/>
      <c r="ZN469" s="36"/>
      <c r="ZO469" s="36"/>
      <c r="ZP469" s="36"/>
      <c r="ZQ469" s="36"/>
      <c r="ZR469" s="36"/>
      <c r="ZS469" s="36"/>
      <c r="ZT469" s="36"/>
      <c r="ZU469" s="36"/>
      <c r="ZV469" s="36"/>
      <c r="ZW469" s="36"/>
      <c r="ZX469" s="36"/>
      <c r="ZY469" s="36"/>
      <c r="ZZ469" s="36"/>
      <c r="AAA469" s="590"/>
      <c r="AAD469" s="113"/>
      <c r="AAE469" s="551" t="s">
        <v>0</v>
      </c>
      <c r="AAF469" s="585" t="s">
        <v>199</v>
      </c>
      <c r="AAG469" s="63"/>
      <c r="AAH469" s="63"/>
      <c r="AAI469" s="63"/>
      <c r="AAJ469" s="60"/>
      <c r="AAK469" s="60"/>
      <c r="AAL469" s="42"/>
      <c r="AAM469" s="113"/>
      <c r="AAN469"/>
      <c r="AAT469" s="23"/>
      <c r="AAU469" s="44"/>
    </row>
    <row r="470" spans="1:732" ht="9" customHeight="1">
      <c r="A470" s="560"/>
      <c r="B470" s="617"/>
      <c r="C470" s="736"/>
      <c r="D470" s="650"/>
      <c r="E470" s="651"/>
      <c r="F470" s="651"/>
      <c r="G470" s="650"/>
      <c r="H470" s="650"/>
      <c r="I470" s="616"/>
      <c r="J470" s="617"/>
      <c r="K470" s="617"/>
      <c r="L470" s="617"/>
      <c r="M470" s="617"/>
      <c r="N470" s="617"/>
      <c r="O470" s="617"/>
      <c r="P470" s="617"/>
      <c r="Q470" s="617"/>
      <c r="R470" s="617"/>
      <c r="S470" s="617"/>
      <c r="T470" s="617"/>
      <c r="U470" s="617"/>
      <c r="V470" s="617"/>
      <c r="W470" s="617"/>
      <c r="X470" s="617"/>
      <c r="Y470" s="617"/>
      <c r="Z470" s="617"/>
      <c r="AA470" s="617"/>
      <c r="AB470" s="617"/>
      <c r="AC470" s="617"/>
      <c r="AD470" s="617"/>
      <c r="AE470" s="617"/>
      <c r="AF470" s="617"/>
      <c r="AG470" s="617"/>
      <c r="AH470" s="617"/>
      <c r="AI470" s="617"/>
      <c r="AJ470" s="617"/>
      <c r="AK470" s="617"/>
      <c r="AL470" s="617"/>
      <c r="AM470" s="617"/>
      <c r="AN470" s="617"/>
      <c r="AO470" s="617"/>
      <c r="AP470" s="617"/>
      <c r="AQ470" s="617"/>
      <c r="AR470" s="617"/>
      <c r="AS470" s="617"/>
      <c r="AT470" s="617"/>
      <c r="AU470" s="617"/>
      <c r="AV470" s="617"/>
      <c r="AW470" s="617"/>
      <c r="AX470" s="617"/>
      <c r="AY470" s="617"/>
      <c r="AZ470" s="617"/>
      <c r="BA470" s="617"/>
      <c r="BB470" s="617"/>
      <c r="BC470" s="617"/>
      <c r="BD470" s="617"/>
      <c r="BE470" s="617"/>
      <c r="BF470" s="617"/>
      <c r="BG470" s="617"/>
      <c r="BH470" s="617"/>
      <c r="BI470" s="617"/>
      <c r="BJ470" s="617"/>
      <c r="BK470" s="617"/>
      <c r="BL470" s="617"/>
      <c r="BM470" s="617"/>
      <c r="BN470" s="617"/>
      <c r="BO470" s="617"/>
      <c r="BP470" s="617"/>
      <c r="BQ470" s="617"/>
      <c r="BR470" s="617"/>
      <c r="BS470" s="617"/>
      <c r="BT470" s="617"/>
      <c r="BU470" s="617"/>
      <c r="BV470" s="617"/>
      <c r="BW470" s="617"/>
      <c r="BX470" s="617"/>
      <c r="BY470" s="617"/>
      <c r="BZ470" s="617"/>
      <c r="CA470" s="617"/>
      <c r="CB470" s="617"/>
      <c r="CC470" s="617"/>
      <c r="CD470" s="617"/>
      <c r="CE470" s="617"/>
      <c r="CF470" s="617"/>
      <c r="CG470" s="617"/>
      <c r="CH470" s="617"/>
      <c r="CI470" s="617"/>
      <c r="CJ470" s="617"/>
      <c r="CK470" s="617"/>
      <c r="CL470" s="617"/>
      <c r="CM470" s="617"/>
      <c r="CN470" s="617"/>
      <c r="CO470" s="617"/>
      <c r="CP470" s="617"/>
      <c r="CQ470" s="617"/>
      <c r="CR470" s="617"/>
      <c r="CS470" s="617"/>
      <c r="CT470" s="617"/>
      <c r="CU470" s="617"/>
      <c r="CV470" s="617"/>
      <c r="CW470" s="617"/>
      <c r="CX470" s="617"/>
      <c r="CY470" s="617"/>
      <c r="CZ470" s="617"/>
      <c r="DA470" s="617"/>
      <c r="DB470" s="617"/>
      <c r="DC470" s="617"/>
      <c r="DD470" s="617"/>
      <c r="DE470" s="617"/>
      <c r="DF470" s="617"/>
      <c r="DG470" s="617"/>
      <c r="DH470" s="617"/>
      <c r="DI470" s="617"/>
      <c r="DJ470" s="617"/>
      <c r="DK470" s="617"/>
      <c r="DL470" s="617"/>
      <c r="DM470" s="617"/>
      <c r="DN470" s="617"/>
      <c r="DO470" s="617"/>
      <c r="DP470" s="617"/>
      <c r="DQ470" s="617"/>
      <c r="DR470" s="617"/>
      <c r="DS470" s="617"/>
      <c r="DT470" s="617"/>
      <c r="DU470" s="617"/>
      <c r="DV470" s="617"/>
      <c r="DW470" s="617"/>
      <c r="DX470" s="617"/>
      <c r="DY470" s="617"/>
      <c r="DZ470" s="617"/>
      <c r="EA470" s="617"/>
      <c r="EB470" s="617"/>
      <c r="EC470" s="617"/>
      <c r="ED470" s="617"/>
      <c r="EE470" s="617"/>
      <c r="EF470" s="617"/>
      <c r="EG470" s="617"/>
      <c r="EH470" s="617"/>
      <c r="EI470" s="617"/>
      <c r="EJ470" s="617"/>
      <c r="EK470" s="617"/>
      <c r="EL470" s="617"/>
      <c r="EM470" s="617"/>
      <c r="EN470" s="617"/>
      <c r="EO470" s="617"/>
      <c r="EP470" s="617"/>
      <c r="EQ470" s="617"/>
      <c r="ER470" s="617"/>
      <c r="ES470" s="617"/>
      <c r="ET470" s="617"/>
      <c r="EU470" s="617"/>
      <c r="EV470" s="617"/>
      <c r="EW470" s="617"/>
      <c r="EX470" s="617"/>
      <c r="EY470" s="617"/>
      <c r="EZ470" s="617"/>
      <c r="FA470" s="617"/>
      <c r="FB470" s="617"/>
      <c r="FC470" s="617"/>
      <c r="FD470" s="617"/>
      <c r="FE470" s="617"/>
      <c r="FF470" s="617"/>
      <c r="FG470" s="617"/>
      <c r="FH470" s="617"/>
      <c r="FI470" s="617"/>
      <c r="FJ470" s="617"/>
      <c r="FK470" s="617"/>
      <c r="FL470" s="617"/>
      <c r="FM470" s="617"/>
      <c r="FN470" s="617"/>
      <c r="FO470" s="617"/>
      <c r="FP470" s="617"/>
      <c r="FQ470" s="617"/>
      <c r="FR470" s="617"/>
      <c r="FS470" s="617"/>
      <c r="FT470" s="617"/>
      <c r="FU470" s="617"/>
      <c r="FV470" s="617"/>
      <c r="FW470" s="617"/>
      <c r="FX470" s="617"/>
      <c r="FY470" s="617"/>
      <c r="FZ470" s="617"/>
      <c r="GA470" s="617"/>
      <c r="GB470" s="617"/>
      <c r="GC470" s="617"/>
      <c r="GD470" s="617"/>
      <c r="GE470" s="617"/>
      <c r="GF470" s="617"/>
      <c r="GG470" s="617"/>
      <c r="GH470" s="617"/>
      <c r="GI470" s="617"/>
      <c r="GJ470" s="617"/>
      <c r="GK470" s="617"/>
      <c r="GL470" s="617"/>
      <c r="GM470" s="617"/>
      <c r="GN470" s="617"/>
      <c r="GO470" s="617"/>
      <c r="GP470" s="617"/>
      <c r="GQ470" s="617"/>
      <c r="GR470" s="617"/>
      <c r="GS470" s="617"/>
      <c r="GT470" s="617"/>
      <c r="GU470" s="617"/>
      <c r="GV470" s="617"/>
      <c r="GW470" s="617"/>
      <c r="GX470" s="617"/>
      <c r="GY470" s="617"/>
      <c r="GZ470" s="617"/>
      <c r="HA470" s="617"/>
      <c r="HB470" s="617"/>
      <c r="HC470" s="617"/>
      <c r="HD470" s="617"/>
      <c r="HE470" s="617"/>
      <c r="HF470" s="617"/>
      <c r="HG470" s="617"/>
      <c r="HH470" s="617"/>
      <c r="HI470" s="617"/>
      <c r="HJ470" s="617"/>
      <c r="HK470" s="617"/>
      <c r="HL470" s="617"/>
      <c r="HM470" s="617"/>
      <c r="HN470" s="617"/>
      <c r="HO470" s="617"/>
      <c r="HP470" s="617"/>
      <c r="HQ470" s="617"/>
      <c r="HR470" s="617"/>
      <c r="HS470" s="617"/>
      <c r="HT470" s="617"/>
      <c r="HU470" s="617"/>
      <c r="HV470" s="617"/>
      <c r="HW470" s="617"/>
      <c r="HX470" s="617"/>
      <c r="HY470" s="617"/>
      <c r="HZ470" s="617"/>
      <c r="IA470" s="617"/>
      <c r="IB470" s="617"/>
      <c r="IC470" s="617"/>
      <c r="ID470" s="617"/>
      <c r="IE470" s="617"/>
      <c r="IF470" s="617"/>
      <c r="IG470" s="617"/>
      <c r="IH470" s="617"/>
      <c r="II470" s="617"/>
      <c r="IJ470" s="617"/>
      <c r="IK470" s="617"/>
      <c r="IL470" s="617"/>
      <c r="IM470" s="617"/>
      <c r="IN470" s="617"/>
      <c r="IO470" s="617"/>
      <c r="IP470" s="617"/>
      <c r="IQ470" s="617"/>
      <c r="IR470" s="617"/>
      <c r="IS470" s="617"/>
      <c r="IT470" s="617"/>
      <c r="IU470" s="617"/>
      <c r="IV470" s="617"/>
      <c r="IW470" s="617"/>
      <c r="IX470" s="617"/>
      <c r="IY470" s="617"/>
      <c r="IZ470" s="617"/>
      <c r="JA470" s="617"/>
      <c r="JB470" s="617"/>
      <c r="JC470" s="617"/>
      <c r="JD470" s="617"/>
      <c r="JE470" s="617"/>
      <c r="JF470" s="617"/>
      <c r="JG470" s="617"/>
      <c r="JH470" s="617"/>
      <c r="JI470" s="617"/>
      <c r="JJ470" s="617"/>
      <c r="JK470" s="617"/>
      <c r="JL470" s="617"/>
      <c r="JM470" s="617"/>
      <c r="JN470" s="617"/>
      <c r="JO470" s="617"/>
      <c r="JP470" s="617"/>
      <c r="JQ470" s="617"/>
      <c r="JR470" s="617"/>
      <c r="JS470" s="617"/>
      <c r="JT470" s="617"/>
      <c r="JU470" s="617"/>
      <c r="JV470" s="617"/>
      <c r="JW470" s="617"/>
      <c r="JX470" s="617"/>
      <c r="JY470" s="617"/>
      <c r="JZ470" s="617"/>
      <c r="KA470" s="617"/>
      <c r="KB470" s="617"/>
      <c r="KC470" s="617"/>
      <c r="KD470" s="617"/>
      <c r="KE470" s="617"/>
      <c r="KF470" s="617"/>
      <c r="KG470" s="617"/>
      <c r="KH470" s="617"/>
      <c r="KI470" s="617"/>
      <c r="KJ470" s="617"/>
      <c r="KK470" s="617"/>
      <c r="KL470" s="617"/>
      <c r="KM470" s="617"/>
      <c r="KN470" s="617"/>
      <c r="KO470" s="617"/>
      <c r="KP470" s="617"/>
      <c r="KQ470" s="617"/>
      <c r="KR470" s="617"/>
      <c r="KS470" s="617"/>
      <c r="KT470" s="617"/>
      <c r="KU470" s="617"/>
      <c r="KV470" s="617"/>
      <c r="KW470" s="617"/>
      <c r="KX470" s="617"/>
      <c r="KY470" s="617"/>
      <c r="KZ470" s="617"/>
      <c r="LA470" s="617"/>
      <c r="LB470" s="617"/>
      <c r="LC470" s="617"/>
      <c r="LD470" s="617"/>
      <c r="LE470" s="617"/>
      <c r="LF470" s="617"/>
      <c r="LG470" s="617"/>
      <c r="LH470" s="617"/>
      <c r="LI470" s="617"/>
      <c r="LJ470" s="617"/>
      <c r="LK470" s="617"/>
      <c r="LL470" s="617"/>
      <c r="LM470" s="617"/>
      <c r="LN470" s="617"/>
      <c r="LO470" s="617"/>
      <c r="LP470" s="617"/>
      <c r="LQ470" s="617"/>
      <c r="LR470" s="617"/>
      <c r="LS470" s="617"/>
      <c r="LT470" s="617"/>
      <c r="LU470" s="617"/>
      <c r="LV470" s="617"/>
      <c r="LW470" s="617"/>
      <c r="LX470" s="617"/>
      <c r="LY470" s="617"/>
      <c r="LZ470" s="617"/>
      <c r="MA470" s="617"/>
      <c r="MB470" s="617"/>
      <c r="MC470" s="617"/>
      <c r="MD470" s="617"/>
      <c r="ME470" s="617"/>
      <c r="MF470" s="617"/>
      <c r="MG470" s="617"/>
      <c r="MH470" s="617"/>
      <c r="MI470" s="617"/>
      <c r="MJ470" s="617"/>
      <c r="MK470" s="617"/>
      <c r="ML470" s="617"/>
      <c r="MM470" s="617"/>
      <c r="MN470" s="617"/>
      <c r="MO470" s="617"/>
      <c r="MP470" s="617"/>
      <c r="MQ470" s="617"/>
      <c r="MR470" s="617"/>
      <c r="MS470" s="617"/>
      <c r="MT470" s="617"/>
      <c r="MU470" s="617"/>
      <c r="MV470" s="617"/>
      <c r="MW470" s="617"/>
      <c r="MX470" s="617"/>
      <c r="MY470" s="617"/>
      <c r="MZ470" s="617"/>
      <c r="NA470" s="617"/>
      <c r="NB470" s="617"/>
      <c r="NC470" s="617"/>
      <c r="ND470" s="617"/>
      <c r="NE470" s="617"/>
      <c r="NF470" s="617"/>
      <c r="NG470" s="617"/>
      <c r="NH470" s="617"/>
      <c r="NI470" s="617"/>
      <c r="NJ470" s="617"/>
      <c r="NK470" s="617"/>
      <c r="NL470" s="617"/>
      <c r="NM470" s="617"/>
      <c r="NN470" s="617"/>
      <c r="NO470" s="617"/>
      <c r="NP470" s="617"/>
      <c r="NQ470" s="617"/>
      <c r="NR470" s="617"/>
      <c r="NS470" s="617"/>
      <c r="NT470" s="617"/>
      <c r="NU470" s="617"/>
      <c r="NV470" s="617"/>
      <c r="NW470" s="617"/>
      <c r="NX470" s="617"/>
      <c r="NY470" s="617"/>
      <c r="NZ470" s="617"/>
      <c r="OA470" s="617"/>
      <c r="OB470" s="617"/>
      <c r="OC470" s="617"/>
      <c r="OD470" s="617"/>
      <c r="OE470" s="617"/>
      <c r="OF470" s="617"/>
      <c r="OG470" s="617"/>
      <c r="OH470" s="617"/>
      <c r="OI470" s="617"/>
      <c r="OJ470" s="617"/>
      <c r="OK470" s="617"/>
      <c r="OL470" s="617"/>
      <c r="OM470" s="617"/>
      <c r="ON470" s="617"/>
      <c r="OO470" s="617"/>
      <c r="OP470" s="617"/>
      <c r="OQ470" s="617"/>
      <c r="OR470" s="617"/>
      <c r="OS470" s="617"/>
      <c r="OT470" s="617"/>
      <c r="OU470" s="617"/>
      <c r="OV470" s="617"/>
      <c r="OW470" s="617"/>
      <c r="OX470" s="617"/>
      <c r="OY470" s="617"/>
      <c r="OZ470" s="617"/>
      <c r="PA470" s="617"/>
      <c r="PB470" s="617"/>
      <c r="PC470" s="617"/>
      <c r="PD470" s="617"/>
      <c r="PE470" s="617"/>
      <c r="PF470" s="617"/>
      <c r="PG470" s="617"/>
      <c r="PH470" s="617"/>
      <c r="PI470" s="617"/>
      <c r="PJ470" s="617"/>
      <c r="PK470" s="617"/>
      <c r="PL470" s="617"/>
      <c r="PM470" s="617"/>
      <c r="PN470" s="617"/>
      <c r="PO470" s="617"/>
      <c r="PP470" s="617"/>
      <c r="PQ470" s="617"/>
      <c r="PR470" s="617"/>
      <c r="PS470" s="617"/>
      <c r="PT470" s="617"/>
      <c r="PU470" s="617"/>
      <c r="PV470" s="617"/>
      <c r="PW470" s="617"/>
      <c r="PX470" s="617"/>
      <c r="PY470" s="617"/>
      <c r="PZ470" s="617"/>
      <c r="QA470" s="617"/>
      <c r="QB470" s="617"/>
      <c r="QC470" s="617"/>
      <c r="QD470" s="617"/>
      <c r="QE470" s="617"/>
      <c r="QF470" s="617"/>
      <c r="QG470" s="617"/>
      <c r="QH470" s="617"/>
      <c r="QI470" s="617"/>
      <c r="QJ470" s="617"/>
      <c r="QK470" s="617"/>
      <c r="QL470" s="617"/>
      <c r="QM470" s="617"/>
      <c r="QN470" s="617"/>
      <c r="QO470" s="617"/>
      <c r="QP470" s="617"/>
      <c r="QQ470" s="617"/>
      <c r="QR470" s="617"/>
      <c r="QS470" s="617"/>
      <c r="QT470" s="617"/>
      <c r="QU470" s="617"/>
      <c r="QV470" s="617"/>
      <c r="QW470" s="617"/>
      <c r="QX470" s="617"/>
      <c r="QY470" s="617"/>
      <c r="QZ470" s="617"/>
      <c r="RA470" s="617"/>
      <c r="RB470" s="617"/>
      <c r="RC470" s="617"/>
      <c r="RD470" s="617"/>
      <c r="RE470" s="617"/>
      <c r="RF470" s="617"/>
      <c r="RG470" s="617"/>
      <c r="RH470" s="617"/>
      <c r="RI470" s="617"/>
      <c r="RJ470" s="617"/>
      <c r="RK470" s="617"/>
      <c r="RL470" s="617"/>
      <c r="RM470" s="617"/>
      <c r="RN470" s="617"/>
      <c r="RO470" s="617"/>
      <c r="RP470" s="617"/>
      <c r="RQ470" s="617"/>
      <c r="RR470" s="617"/>
      <c r="RS470" s="617"/>
      <c r="RT470" s="617"/>
      <c r="RU470" s="617"/>
      <c r="RV470" s="617"/>
      <c r="RW470" s="617"/>
      <c r="RX470" s="617"/>
      <c r="RY470" s="617"/>
      <c r="RZ470" s="617"/>
      <c r="SA470" s="617"/>
      <c r="SB470" s="617"/>
      <c r="SC470" s="617"/>
      <c r="SD470" s="617"/>
      <c r="SE470" s="617"/>
      <c r="SF470" s="617"/>
      <c r="SG470" s="617"/>
      <c r="SH470" s="617"/>
      <c r="SI470" s="617"/>
      <c r="SJ470" s="617"/>
      <c r="SK470" s="617"/>
      <c r="SL470" s="617"/>
      <c r="SM470" s="617"/>
      <c r="SN470" s="617"/>
      <c r="SO470" s="617"/>
      <c r="SP470" s="617"/>
      <c r="SQ470" s="617"/>
      <c r="SR470" s="617"/>
      <c r="SS470" s="617"/>
      <c r="ST470" s="617"/>
      <c r="SU470" s="617"/>
      <c r="SV470" s="617"/>
      <c r="SW470" s="617"/>
      <c r="SX470" s="617"/>
      <c r="SY470" s="617"/>
      <c r="SZ470" s="617"/>
      <c r="TA470" s="617"/>
      <c r="TB470" s="617"/>
      <c r="TC470" s="617"/>
      <c r="TD470" s="617"/>
      <c r="TE470" s="617"/>
      <c r="TF470" s="617"/>
      <c r="TG470" s="617"/>
      <c r="TH470" s="617"/>
      <c r="TI470" s="617"/>
      <c r="TJ470" s="617"/>
      <c r="TK470" s="617"/>
      <c r="TL470" s="617"/>
      <c r="TM470" s="617"/>
      <c r="TN470" s="617"/>
      <c r="TO470" s="617"/>
      <c r="TP470" s="617"/>
      <c r="TQ470" s="617"/>
      <c r="TR470" s="617"/>
      <c r="TS470" s="617"/>
      <c r="TT470" s="617"/>
      <c r="TU470" s="617"/>
      <c r="TV470" s="617"/>
      <c r="TW470" s="617"/>
      <c r="TX470" s="617"/>
      <c r="TY470" s="617"/>
      <c r="TZ470" s="617"/>
      <c r="UA470" s="617"/>
      <c r="UB470" s="617"/>
      <c r="UC470" s="617"/>
      <c r="UD470" s="617"/>
      <c r="UE470" s="617"/>
      <c r="UF470" s="617"/>
      <c r="UG470" s="617"/>
      <c r="UH470" s="617"/>
      <c r="UI470" s="617"/>
      <c r="UJ470" s="617"/>
      <c r="UK470" s="617"/>
      <c r="UL470" s="617"/>
      <c r="UM470" s="617"/>
      <c r="UN470" s="617"/>
      <c r="UO470" s="617"/>
      <c r="UP470" s="617"/>
      <c r="UQ470" s="617"/>
      <c r="UR470" s="617"/>
      <c r="US470" s="617"/>
      <c r="UT470" s="617"/>
      <c r="UU470" s="617"/>
      <c r="UV470" s="617"/>
      <c r="UW470" s="617"/>
      <c r="UX470" s="617"/>
      <c r="UY470" s="617"/>
      <c r="UZ470" s="617"/>
      <c r="VA470" s="617"/>
      <c r="VB470" s="617"/>
      <c r="VC470" s="617"/>
      <c r="VD470" s="617"/>
      <c r="VE470" s="617"/>
      <c r="VF470" s="617"/>
      <c r="VG470" s="617"/>
      <c r="VH470" s="617"/>
      <c r="VI470" s="617"/>
      <c r="VJ470" s="617"/>
      <c r="VK470" s="617"/>
      <c r="VL470" s="617"/>
      <c r="VM470" s="617"/>
      <c r="VN470" s="617"/>
      <c r="VO470" s="617"/>
      <c r="VP470" s="617"/>
      <c r="VQ470" s="617"/>
      <c r="VR470" s="617"/>
      <c r="VS470" s="617"/>
      <c r="VT470" s="617"/>
      <c r="VU470" s="617"/>
      <c r="VV470" s="617"/>
      <c r="VW470" s="617"/>
      <c r="VX470" s="617"/>
      <c r="VY470" s="617"/>
      <c r="VZ470" s="617"/>
      <c r="WA470" s="617"/>
      <c r="WB470" s="617"/>
      <c r="WC470" s="617"/>
      <c r="WD470" s="617"/>
      <c r="WE470" s="617"/>
      <c r="WF470" s="617"/>
      <c r="WG470" s="617"/>
      <c r="WH470" s="617"/>
      <c r="WI470" s="617"/>
      <c r="WJ470" s="617"/>
      <c r="WK470" s="617"/>
      <c r="WL470" s="617"/>
      <c r="WM470" s="617"/>
      <c r="WN470" s="617"/>
      <c r="WO470" s="617"/>
      <c r="WP470" s="617"/>
      <c r="WQ470" s="617"/>
      <c r="WR470" s="617"/>
      <c r="WS470" s="617"/>
      <c r="WT470" s="617"/>
      <c r="WU470" s="617"/>
      <c r="WV470" s="617"/>
      <c r="WW470" s="617"/>
      <c r="WX470" s="617"/>
      <c r="WY470" s="617"/>
      <c r="WZ470" s="617"/>
      <c r="XA470" s="617"/>
      <c r="XB470" s="617"/>
      <c r="XC470" s="617"/>
      <c r="XD470" s="617"/>
      <c r="XE470" s="617"/>
      <c r="XF470" s="617"/>
      <c r="XG470" s="617"/>
      <c r="XH470" s="617"/>
      <c r="XI470" s="617"/>
      <c r="XJ470" s="617"/>
      <c r="XK470" s="617"/>
      <c r="XL470" s="617"/>
      <c r="XM470" s="617"/>
      <c r="XN470" s="617"/>
      <c r="XO470" s="617"/>
      <c r="XP470" s="617"/>
      <c r="XQ470" s="617"/>
      <c r="XR470" s="617"/>
      <c r="XS470" s="617"/>
      <c r="XT470" s="617"/>
      <c r="XU470" s="617"/>
      <c r="XV470" s="617"/>
      <c r="XW470" s="617"/>
      <c r="XX470" s="617"/>
      <c r="XY470" s="617"/>
      <c r="XZ470" s="617"/>
      <c r="YA470" s="617"/>
      <c r="YB470" s="617"/>
      <c r="YC470" s="617"/>
      <c r="YD470" s="617"/>
      <c r="YE470" s="617"/>
      <c r="YF470" s="617"/>
      <c r="YG470" s="617"/>
      <c r="YH470" s="617"/>
      <c r="YI470" s="617"/>
      <c r="YJ470" s="617"/>
      <c r="YK470" s="617"/>
      <c r="YL470" s="617"/>
      <c r="YM470" s="617"/>
      <c r="YN470" s="617"/>
      <c r="YO470" s="617"/>
      <c r="YP470" s="617"/>
      <c r="YQ470" s="617"/>
      <c r="YR470" s="617"/>
      <c r="YS470" s="617"/>
      <c r="YT470" s="617"/>
      <c r="YU470" s="617"/>
      <c r="YV470" s="617"/>
      <c r="YW470" s="617"/>
      <c r="YX470" s="617"/>
      <c r="YY470" s="617"/>
      <c r="YZ470" s="617"/>
      <c r="ZA470" s="617"/>
      <c r="ZB470" s="617"/>
      <c r="ZC470" s="617"/>
      <c r="ZD470" s="617"/>
      <c r="ZE470" s="617"/>
      <c r="ZF470" s="617"/>
      <c r="ZG470" s="617"/>
      <c r="ZH470" s="617"/>
      <c r="ZI470" s="617"/>
      <c r="ZJ470" s="617"/>
      <c r="ZK470" s="617"/>
      <c r="ZL470" s="617"/>
      <c r="ZM470" s="617"/>
      <c r="ZN470" s="617"/>
      <c r="ZO470" s="617"/>
      <c r="ZP470" s="617"/>
      <c r="ZQ470" s="617"/>
      <c r="ZR470" s="617"/>
      <c r="ZS470" s="617"/>
      <c r="ZT470" s="617"/>
      <c r="ZU470" s="617"/>
      <c r="ZV470" s="617"/>
      <c r="ZW470" s="617"/>
      <c r="ZX470" s="617"/>
      <c r="ZY470" s="617"/>
      <c r="ZZ470" s="627"/>
      <c r="AAA470" s="616"/>
      <c r="AAB470" s="617"/>
      <c r="AAC470" s="617"/>
      <c r="AAD470" s="614"/>
      <c r="AAE470" s="615" t="s">
        <v>276</v>
      </c>
      <c r="AAF470" s="615"/>
      <c r="AAG470" s="614"/>
      <c r="AAH470" s="614"/>
      <c r="AAI470" s="614"/>
      <c r="AAJ470" s="614"/>
      <c r="AAK470" s="614"/>
      <c r="AAL470" s="614"/>
      <c r="AAM470" s="614"/>
      <c r="AAN470"/>
      <c r="AAT470" s="23"/>
      <c r="AAU470" s="44"/>
    </row>
  </sheetData>
  <sheetProtection sheet="1" scenarios="1" formatRows="0" insertHyperlinks="0"/>
  <mergeCells count="139">
    <mergeCell ref="AAE1:AAK2"/>
    <mergeCell ref="ABK6:ABQ6"/>
    <mergeCell ref="AAS20:AAS21"/>
    <mergeCell ref="B31:D31"/>
    <mergeCell ref="B28:D28"/>
    <mergeCell ref="B94:H94"/>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8:F258"/>
    <mergeCell ref="D255:F255"/>
    <mergeCell ref="D256:F256"/>
    <mergeCell ref="D257:F257"/>
    <mergeCell ref="B244:H244"/>
    <mergeCell ref="B246:C246"/>
    <mergeCell ref="D253:F253"/>
    <mergeCell ref="B235:C235"/>
    <mergeCell ref="B229:H229"/>
    <mergeCell ref="B231:C231"/>
    <mergeCell ref="B234:C234"/>
    <mergeCell ref="A2:A3"/>
    <mergeCell ref="B25:D25"/>
    <mergeCell ref="B12:D12"/>
    <mergeCell ref="B17:C17"/>
    <mergeCell ref="E4:F4"/>
    <mergeCell ref="B2:B3"/>
    <mergeCell ref="B239:C239"/>
    <mergeCell ref="D254:F254"/>
    <mergeCell ref="B248:H248"/>
    <mergeCell ref="D126:F126"/>
    <mergeCell ref="D146:F146"/>
    <mergeCell ref="D166:F166"/>
    <mergeCell ref="D186:F186"/>
    <mergeCell ref="B208:H208"/>
    <mergeCell ref="B40:C40"/>
    <mergeCell ref="B37:D37"/>
    <mergeCell ref="B67:C67"/>
    <mergeCell ref="D106:F106"/>
    <mergeCell ref="G4:H4"/>
    <mergeCell ref="B39:D39"/>
    <mergeCell ref="B26:D26"/>
    <mergeCell ref="B27:D27"/>
    <mergeCell ref="D6:E6"/>
    <mergeCell ref="E42:F42"/>
    <mergeCell ref="B437:H437"/>
    <mergeCell ref="D259:F259"/>
    <mergeCell ref="D260:F260"/>
    <mergeCell ref="B424:H424"/>
    <mergeCell ref="B361:C361"/>
    <mergeCell ref="B357:H357"/>
    <mergeCell ref="B386:H386"/>
    <mergeCell ref="B339:H339"/>
    <mergeCell ref="B390:H390"/>
    <mergeCell ref="B271:H271"/>
    <mergeCell ref="B297:H297"/>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3" priority="77" stopIfTrue="1">
      <formula>IF(AND(S.InvolveNotice=FALSE,S.InvolveHearing=TRUE),TRUE)</formula>
    </cfRule>
  </conditionalFormatting>
  <conditionalFormatting sqref="B17:B18">
    <cfRule type="expression" dxfId="12" priority="62" stopIfTrue="1">
      <formula>IF(AND(S.InvolveHearing=FALSE,S.InvolveSIP=TRUE),TRUE)</formula>
    </cfRule>
  </conditionalFormatting>
  <conditionalFormatting sqref="B15 G15:H15">
    <cfRule type="expression" dxfId="11" priority="57" stopIfTrue="1">
      <formula>IF(AND(S.InvolveHearing=FALSE,S.InvolveEQCFacHearing=TRUE),TRUE)</formula>
    </cfRule>
  </conditionalFormatting>
  <conditionalFormatting sqref="G17:G468">
    <cfRule type="expression" dxfId="10" priority="3847" stopIfTrue="1">
      <formula>IF(WORKDAY($G17-1,1,S.DDL_DEQClosed)&lt;&gt;$G17,TRUE)</formula>
    </cfRule>
  </conditionalFormatting>
  <conditionalFormatting sqref="H17:H468">
    <cfRule type="expression" dxfId="9" priority="4047" stopIfTrue="1">
      <formula>IF(WORKDAY($H17-1,1,S.DDL_DEQClosed)&lt;&gt;$H17,TRUE)</formula>
    </cfRule>
  </conditionalFormatting>
  <conditionalFormatting sqref="J8:ZZ468">
    <cfRule type="expression" dxfId="8" priority="4091" stopIfTrue="1">
      <formula>IF($AAF8="X",TRUE)</formula>
    </cfRule>
    <cfRule type="expression" dxfId="7" priority="4092" stopIfTrue="1">
      <formula>IF(OR(WEEKDAY(J$6)=1,WEEKDAY(J$6)=7),TRUE)</formula>
    </cfRule>
    <cfRule type="expression" dxfId="6" priority="4093" stopIfTrue="1">
      <formula>IF(ISERROR(VLOOKUP(J$6,S.DDL_DEQClosed,1,FALSE)),0,1)</formula>
    </cfRule>
    <cfRule type="expression" dxfId="5" priority="4132" stopIfTrue="1">
      <formula>AND($AAF8&lt;&gt;"X",$G8&lt;K$6,$H8&gt;=J$6)</formula>
    </cfRule>
  </conditionalFormatting>
  <conditionalFormatting sqref="B86:B87">
    <cfRule type="expression" dxfId="4" priority="4138" stopIfTrue="1">
      <formula>IF($AAE85=0,TRUE)</formula>
    </cfRule>
  </conditionalFormatting>
  <conditionalFormatting sqref="B4:ZZ468">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939" yWindow="516" count="156">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G228 G242">
      <formula1>H220</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2">
      <formula1>G212</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3">
      <formula1>G300</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1">
      <formula1>G261</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6">
      <formula1>H239</formula1>
      <formula2>H210</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7">
      <formula1>G237</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2">
      <formula1>H228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3">
      <formula1>H232</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19">
      <formula1>G219</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3">
      <formula1>H239</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4:H228">
      <formula1>G224</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5:H88 H107 H96:H105 H120 H109:H113 H115:H118 H122:H125 H127 H140 H129:H133 H135:H138 H142:H145 H147 H160 H149:H153 H155:H158 H162:H165 H167 H180 H169:H173 H175:H178 H182:H185 H187 H200 H189:H193 H195:H198 H202:H206 H90:H93">
      <formula1>G85</formula1>
      <formula2>S.BANNER.AdvisoryCommitteeEnd</formula2>
    </dataValidation>
    <dataValidation type="date" allowBlank="1" showErrorMessage="1" errorTitle="INVALID DATE" error="If you need a differenct date, change the Submit notice to SOS under Key dates." sqref="H331 H309 H322">
      <formula1>G309</formula1>
      <formula2>G309</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5:H376 H370:H371 H379:H385">
      <formula1>G370</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3:H268">
      <formula1>G263</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4 H269 H360">
      <formula1>$F269</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6 H306">
      <formula1>G306</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4 G219">
      <formula1>H213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7 H218">
      <formula1>G218</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3 H213">
      <formula1>G213</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1">
      <formula1>G309</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299:H300 H307">
      <formula1>G299</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5 H420:H423 H414 H394">
      <formula1>G394</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0">
      <formula1>H238</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0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8">
      <formula1>AAE238</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3">
      <formula1>AAE233</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299">
      <formula1>S.BANNER.NoticeStart</formula1>
      <formula2>G300</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0">
      <formula1>S.BANNER.FeeStart</formula1>
      <formula2>AAH210</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0 H242">
      <formula1>G240</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3">
      <formula1>G243</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8">
      <formula1>H303</formula1>
      <formula2>G309</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6">
      <formula1>H303</formula1>
      <formula2>G308</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8">
      <formula1>H303</formula1>
      <formula2>G309</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7">
      <formula1>H303</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G308</formula2>
    </dataValidation>
    <dataValidation type="date" allowBlank="1" showErrorMessage="1" errorTitle="LOCKED" error="Change the Submit notice to SOS under Overview of Key Dates banner." sqref="H311">
      <formula1>G311</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G308</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4">
      <formula1>G304</formula1>
      <formula2>G308</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4">
      <formula1>H302</formula1>
      <formula2>G308</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0">
      <formula1>S.BANNER.NoticeStart</formula1>
      <formula2>WORKDAY(G308,-5,S.DDL_DEQClosed)</formula2>
    </dataValidation>
    <dataValidation type="date" allowBlank="1" showErrorMessage="1" errorTitle="DATE OUT OF RANGE" error="Enter a date between the date to the left and the &quot;LA briefing meeting&quot; date below." sqref="AAH296">
      <formula1>G296</formula1>
      <formula2>WORKDAY(G299,-2,S.DDL_DEQClosed)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3:G296 G284 G287">
      <formula1>S.BANNER.NoticeStart</formula1>
      <formula2>G313</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0 H272:H275 H283:H287 H293:H296">
      <formula1>G270</formula1>
      <formula2>$G$299</formula2>
    </dataValidation>
    <dataValidation allowBlank="1" showErrorMessage="1" sqref="AAL450:AAL457 AAL445:AAL446 B445:B446 B450:B457 B94:H94"/>
    <dataValidation allowBlank="1" sqref="AAG431 AAG263"/>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2 AAG352:AAG356 AAG359 AAG264:AAG268">
      <formula1>S.BANNER.NoticeStart</formula1>
      <formula2>S.CloseComment</formula2>
    </dataValidation>
    <dataValidation allowBlank="1" showInputMessage="1" showErrorMessage="1" promptTitle="TEAM DISCRETION" prompt="The team may place an &quot;X&quot; in this location to indicate the task has been completed." sqref="C455:C457 C426:C429 C431:C432 C443:C446 C450:C453 C464:C466 C468 C459 C362:C371 C407:C413 C420:C423 C415:C418 C395:C397 C388 C205:C206 C170:C173 C202:C203 C200 C190:C193 C185:C187 C150:C153 C182:C183 C180 C196:C198 C165:C167 C130:C133 C162:C163 C160 C176:C178 C145:C147 C110:C113 C142:C143 C140 C156:C158 C125:C127 C99 C102:C103 C47:C50 C91:C93 C87:C88 C122:C123 C105:C107 C120 C136:C138 C212 C215:C216 C116:C118 C96:C97 C236:C238 C240:C243 C253:C261 C348 C375:C376 C379:C385 C359 C343 C333:C337 C274:C284 C326:C331 C324 C322 C303:C311 C299:C300 C263:C268 C272 C350:C356 C293:C296 C286:C287 C71:C78 C68:C69 C224:C228"/>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3 G447 G213 G218">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2"/>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1"/>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0">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8">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8">
      <formula1>S.BANNER.PostEQCStart</formula1>
      <formula2>S.BANNER.PostEQCEnd</formula2>
    </dataValidation>
    <dataValidation type="date" allowBlank="1" showInputMessage="1" showErrorMessage="1" sqref="H442">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4 G269 G360">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7">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1:G432 G428:G429 G426 G414 G394 G405 G420:G423">
      <formula1>S.BANNER.EQCStart</formula1>
      <formula2>S.BANNER.EQCEnd</formula2>
    </dataValidation>
    <dataValidation type="date" allowBlank="1" showInputMessage="1" showErrorMessage="1" errorTitle="DATE RANGE ERROR" error="Enter a date between the date to the left and 45 days after the date to the left." sqref="H439">
      <formula1>S.BANNER.PostEQCStart</formula1>
      <formula2>S.BANNER.PostEQCStart+45</formula2>
    </dataValidation>
    <dataValidation type="date" allowBlank="1" showInputMessage="1" showErrorMessage="1" sqref="G442">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7">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8">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1:H432 H429">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8 E340 E249 E209 E81 E43 E391"/>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8 G391 G340 G249 G209 G81 G5 G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8 H391 H340 H249 H209 H81 H5 H43"/>
    <dataValidation allowBlank="1" showInputMessage="1" showErrorMessage="1" promptTitle="FEE.APPROVAL" prompt="This is Department of Administrative Services' 107BF21 - Fee Approval Form. " sqref="C223"/>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09">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3">
      <formula1>S.MgrNoticeApproval</formula1>
      <formula2>S.SubmitNoticeToSOS</formula2>
    </dataValidation>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operator="greaterThanOrEqual" allowBlank="1" showInputMessage="1" showErrorMessage="1" sqref="AAG386 AAG357 AAG293:AAG297 AAG270:AAG275 AAG261 AAG229 AAG244 AAG283:AAG287 AAG424"/>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353:B357 B382:B386 B420:B424 B225:B230 B244 B265:B268 B293:B297"/>
    <dataValidation allowBlank="1" showInputMessage="1" showErrorMessage="1" promptTitle="VERIFY COMPILATION" prompt="Verify redline/strikethrough is based on the latest compilation. See Hist.: at the bottom of each rule._x000a_" sqref="B398"/>
    <dataValidation type="date" allowBlank="1" showInputMessage="1" showErrorMessage="1" promptTitle="LOCKED" prompt="DEFAULT   EQC Meeting date selected in cell G10" sqref="H392">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2">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8">
      <formula1>S.PublicNoticeInBulletin</formula1>
      <formula2>S.SubmitStaffRpt</formula2>
    </dataValidation>
    <dataValidation allowBlank="1" showInputMessage="1" showErrorMessage="1" promptTitle="ENTER NUMBER" prompt="Enter the number of loops." sqref="C387"/>
    <dataValidation type="date" allowBlank="1" showInputMessage="1" showErrorMessage="1" promptTitle="ENTER DATE" prompt="DEFAULT   30 days before submitting the SOS notice." sqref="G395">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1">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59 H343 H346 H352:H356">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2:G356 G359 G343 G346">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0:G371">
      <formula1>S.HearingFirst</formula1>
      <formula2>S.BANNER.HearingEnd</formula2>
    </dataValidation>
    <dataValidation allowBlank="1" showInputMessage="1" showErrorMessage="1" promptTitle="LOCKED: CANNOT CHANGE DATE HERE" prompt="Change the hearing dates under Public notice section." sqref="G362:H369"/>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1">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1 G322">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3">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5"/>
    <dataValidation allowBlank="1" showInputMessage="1" showErrorMessage="1" promptTitle="ENTER CITY" prompt="Enter the city where this hearing will be held." sqref="D253:F260"/>
    <dataValidation allowBlank="1" showInputMessage="1" showErrorMessage="1" promptTitle="ENTER TIME" prompt="Enter the time of this hearing as hh:mm followed by a.m. or p.m._x000a__x000a__x000a_" sqref="H253:H260"/>
    <dataValidation allowBlank="1" showInputMessage="1" showErrorMessage="1" promptTitle="FEE.DETAIL" prompt="This is Department of Administrative Services' 107BF22 - Fee Detail Form. " sqref="C222"/>
    <dataValidation type="date" allowBlank="1" showInputMessage="1" showErrorMessage="1" errorTitle="LOCKED" error="Change under notice section of OVerview of Key Dates" promptTitle="LOCKED" prompt="Change under notice section of Overview of Key Dates_x000a__x000a__x000a_" sqref="G236">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1">
      <formula1>#REF!</formula1>
      <formula2>S.BANNER.FeeEnd</formula2>
    </dataValidation>
    <dataValidation allowBlank="1" showInputMessage="1" showErrorMessage="1" promptTitle="DAS PROCESS IMPROVEMENTS" prompt="This information willl help us  gather data to support our requests for DAS process improvements." sqref="B240:B243"/>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0">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0">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8">
      <formula1>S.BANNER.FeeStart</formula1>
      <formula2>S.BANNER.FeeEnd</formula2>
    </dataValidation>
    <dataValidation type="date" allowBlank="1" showInputMessage="1" showErrorMessage="1" errorTitle="LOCKED" promptTitle="LOCKED" prompt="Entered under Overview of Key Dates" sqref="G210">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2">
      <formula1>S.BANNER.FeeStart</formula1>
      <formula2>S.BANNER.FeeEnd</formula2>
    </dataValidation>
    <dataValidation allowBlank="1" showInputMessage="1" showErrorMessage="1" promptTitle="Project Assistant" prompt="Meeting mechanics tab" sqref="D107 D187 D167 D147 D127 D104:D105"/>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0 G202:G206 G189:G193 G187 G195:G198 G200 G182:G185 G169:G173 G167 G175:G178 G180 G162:G165 G149:G153 G147 G155:G158 G160 G142:G145 G129:G133 G127 G135:G138 G140 G122:G125 G109:G113 G90:G93 G86:G88 G107 G115:G118 G96:G105">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8 C188 C168 C148 C128 C89"/>
    <dataValidation allowBlank="1" showInputMessage="1" showErrorMessage="1" promptTitle="ENTER TIME" prompt="Enter the time of the advisory committee meeting as hh:mm followed by a.m. or p.m._x000a__x000a__x000a_" sqref="H186 H166 H146 H126 H106"/>
    <dataValidation allowBlank="1" showInputMessage="1" showErrorMessage="1" promptTitle="ENTER DATE" prompt="Enter the date of the advisory committee meeting as mm/dd/yy._x000a__x000a_" sqref="G106 G186 G166 G146 G126"/>
    <dataValidation allowBlank="1" showInputMessage="1" showErrorMessage="1" promptTitle="ENTER LOCATION" prompt="Enter location of advisory committee meeting." sqref="D106:F106 D186:F186 D166:F166 D146:F146 D126:F126"/>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1"/>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2"/>
    <dataValidation allowBlank="1" showInputMessage="1" showErrorMessage="1" promptTitle="ADVISORY COMMITTEE CHARTER" prompt="The Considerations workbook helps the team  identify what is in- and out- of the advisory committee's scope." sqref="B88"/>
    <dataValidation type="date" allowBlank="1" showInputMessage="1" showErrorMessage="1" promptTitle="ENTER DATE" prompt="Enter the date of this hearing as mm/dd/yy._x000a__x000a_" sqref="G254:G260">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7">
      <formula1>S.BANNER.FeeStart</formula1>
      <formula2>S.SubmitFeeToDAS</formula2>
    </dataValidation>
    <dataValidation allowBlank="1" showInputMessage="1" showErrorMessage="1" errorTitle="LOCKED" error="Change under Overview of Key Dates" promptTitle="LOCKED" prompt="Change under Overview of Key Dates" sqref="H372"/>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5:G376 G379:G385">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1 G263:G268">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0 G272:G275 G283 G285:G286">
      <formula1>S.BANNER.NoticeStart</formula1>
      <formula2>$G$299</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3" r:id="rId1"/>
    <hyperlink ref="C285" r:id="rId2"/>
    <hyperlink ref="C124" r:id="rId3"/>
    <hyperlink ref="C70" r:id="rId4"/>
    <hyperlink ref="C90" r:id="rId5"/>
    <hyperlink ref="C345" r:id="rId6"/>
    <hyperlink ref="C53" r:id="rId7"/>
    <hyperlink ref="C57" r:id="rId8"/>
    <hyperlink ref="C325" r:id="rId9"/>
    <hyperlink ref="C323" r:id="rId10"/>
    <hyperlink ref="C100" r:id="rId11"/>
    <hyperlink ref="C101" r:id="rId12" display=" i"/>
    <hyperlink ref="C398" r:id="rId13"/>
    <hyperlink ref="C104" r:id="rId14"/>
    <hyperlink ref="C454" r:id="rId15"/>
    <hyperlink ref="C313" r:id="rId16"/>
    <hyperlink ref="C34" r:id="rId17"/>
    <hyperlink ref="C349" r:id="rId18"/>
    <hyperlink ref="C105" r:id="rId19"/>
    <hyperlink ref="C35" r:id="rId20"/>
    <hyperlink ref="C84" r:id="rId21"/>
    <hyperlink ref="AAL99" r:id="rId22"/>
    <hyperlink ref="C46" r:id="rId23"/>
    <hyperlink ref="C58" r:id="rId24"/>
    <hyperlink ref="C60" r:id="rId25"/>
    <hyperlink ref="C61" r:id="rId26"/>
    <hyperlink ref="C62" r:id="rId27"/>
    <hyperlink ref="C63" r:id="rId28"/>
    <hyperlink ref="C86" r:id="rId29"/>
    <hyperlink ref="C85" r:id="rId30"/>
    <hyperlink ref="C98" r:id="rId31"/>
    <hyperlink ref="C109" r:id="rId32"/>
    <hyperlink ref="C144" r:id="rId33"/>
    <hyperlink ref="C129" r:id="rId34"/>
    <hyperlink ref="C149" r:id="rId35"/>
    <hyperlink ref="C164" r:id="rId36"/>
    <hyperlink ref="C169" r:id="rId37"/>
    <hyperlink ref="C184" r:id="rId38"/>
    <hyperlink ref="C189" r:id="rId39"/>
    <hyperlink ref="C204" r:id="rId40"/>
    <hyperlink ref="C195" r:id="rId41"/>
    <hyperlink ref="C175" r:id="rId42"/>
    <hyperlink ref="C155" r:id="rId43"/>
    <hyperlink ref="C135" r:id="rId44"/>
    <hyperlink ref="C115" r:id="rId45"/>
    <hyperlink ref="C220" r:id="rId46"/>
    <hyperlink ref="C223" r:id="rId47"/>
    <hyperlink ref="C222" r:id="rId48"/>
  </hyperlinks>
  <pageMargins left="0.25" right="0.25" top="0.36" bottom="0.36" header="0.3" footer="0.3"/>
  <pageSetup orientation="portrait" horizontalDpi="4294967293" r:id="rId49"/>
  <rowBreaks count="8" manualBreakCount="8">
    <brk id="41" min="1" max="7" man="1"/>
    <brk id="79" min="1" max="7" man="1"/>
    <brk id="125" min="1" max="7" man="1"/>
    <brk id="165" min="1" max="7" man="1"/>
    <brk id="207" min="1" max="7" man="1"/>
    <brk id="247" min="1" max="7" man="1"/>
    <brk id="338" min="1" max="7" man="1"/>
    <brk id="436" min="1" max="7" man="1"/>
  </rowBreaks>
  <ignoredErrors>
    <ignoredError sqref="G85:H88 G120:H120 G218:H218 G232:H233 G246 G212:H212 G343:H343 G346:H346 G352:H356 G359:H359 G388 H376 G394:H394 G414:H414 G405:H405 G420:H422 H237:H238 G224:H228 G238 G243 H442 G454:H457 G459:H459 G468:H468 H439 H268 G322:H322 G331:H331 H310 G392 H460 H427:H429 G426 G428:G429 G431:H432 G90:H93 G107:H107 G123:H125 G96:H103 G109:H113 G117:H118 G115:H115 G370:H371 H213 G451:H452 G241 G242 H375 H263 H264 H265 H266 H267 G423" unlockedFormula="1"/>
  </ignoredErrors>
  <drawing r:id="rId50"/>
  <legacyDrawing r:id="rId5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559"/>
      <c r="C1" s="106"/>
      <c r="D1" s="38" t="s">
        <v>149</v>
      </c>
      <c r="E1" s="38" t="s">
        <v>152</v>
      </c>
      <c r="F1" s="38" t="s">
        <v>138</v>
      </c>
      <c r="G1" s="331" t="s">
        <v>288</v>
      </c>
    </row>
    <row r="2" spans="1:7" s="23" customFormat="1" ht="25.5" customHeight="1">
      <c r="A2" s="106"/>
      <c r="B2" s="788" t="s">
        <v>150</v>
      </c>
      <c r="C2" s="788"/>
      <c r="D2" s="106"/>
      <c r="E2" s="106"/>
      <c r="F2" s="106"/>
      <c r="G2" s="106"/>
    </row>
    <row r="3" spans="1:7" s="23" customFormat="1">
      <c r="A3" s="106"/>
      <c r="B3" s="559" t="s">
        <v>29</v>
      </c>
      <c r="C3" s="106" t="s">
        <v>154</v>
      </c>
      <c r="D3" s="561" t="s">
        <v>85</v>
      </c>
      <c r="E3" s="562" t="s">
        <v>339</v>
      </c>
      <c r="F3" s="562" t="s">
        <v>337</v>
      </c>
      <c r="G3" s="106"/>
    </row>
    <row r="4" spans="1:7" s="23" customFormat="1">
      <c r="A4" s="106"/>
      <c r="B4" s="559" t="s">
        <v>22</v>
      </c>
      <c r="C4" s="106" t="s">
        <v>323</v>
      </c>
      <c r="D4" s="563" t="s">
        <v>139</v>
      </c>
      <c r="E4" s="562" t="s">
        <v>338</v>
      </c>
      <c r="F4" s="669" t="s">
        <v>153</v>
      </c>
      <c r="G4" s="106"/>
    </row>
    <row r="5" spans="1:7" s="23" customFormat="1">
      <c r="A5" s="106"/>
      <c r="B5" s="559" t="s">
        <v>28</v>
      </c>
      <c r="C5" s="106"/>
      <c r="D5" s="558" t="s">
        <v>322</v>
      </c>
      <c r="E5" s="562" t="s">
        <v>340</v>
      </c>
      <c r="F5" s="669" t="s">
        <v>153</v>
      </c>
      <c r="G5" s="106"/>
    </row>
    <row r="6" spans="1:7" s="23" customFormat="1">
      <c r="A6" s="106"/>
      <c r="B6" s="559" t="s">
        <v>320</v>
      </c>
      <c r="C6" s="106" t="s">
        <v>321</v>
      </c>
      <c r="D6" s="558" t="s">
        <v>322</v>
      </c>
      <c r="E6" s="565" t="s">
        <v>341</v>
      </c>
      <c r="F6" s="669" t="s">
        <v>153</v>
      </c>
      <c r="G6" s="106"/>
    </row>
    <row r="7" spans="1:7" s="23" customFormat="1">
      <c r="A7" s="106"/>
      <c r="B7" s="559"/>
      <c r="C7" s="106"/>
      <c r="D7" s="556"/>
      <c r="E7" s="565"/>
      <c r="F7" s="564"/>
      <c r="G7" s="106"/>
    </row>
    <row r="8" spans="1:7" s="23" customFormat="1">
      <c r="A8" s="106"/>
      <c r="B8" s="559"/>
      <c r="C8" s="106"/>
      <c r="D8" s="556"/>
      <c r="E8" s="565"/>
      <c r="F8" s="564"/>
      <c r="G8" s="106"/>
    </row>
    <row r="9" spans="1:7" ht="18">
      <c r="A9" s="106"/>
      <c r="B9" s="788" t="s">
        <v>151</v>
      </c>
      <c r="C9" s="788"/>
      <c r="D9" s="569" t="s">
        <v>155</v>
      </c>
      <c r="E9" s="570" t="s">
        <v>156</v>
      </c>
      <c r="F9" s="106"/>
      <c r="G9" s="106"/>
    </row>
    <row r="10" spans="1:7">
      <c r="A10" s="106"/>
      <c r="B10" s="559"/>
      <c r="C10" s="560"/>
      <c r="D10" s="571" t="s">
        <v>143</v>
      </c>
      <c r="E10" s="562" t="s">
        <v>326</v>
      </c>
      <c r="F10" s="106" t="s">
        <v>327</v>
      </c>
      <c r="G10" s="106"/>
    </row>
    <row r="11" spans="1:7">
      <c r="A11" s="106"/>
      <c r="B11" s="559"/>
      <c r="C11" s="560"/>
      <c r="D11" s="571" t="s">
        <v>143</v>
      </c>
      <c r="E11" s="562" t="s">
        <v>329</v>
      </c>
      <c r="F11" s="106" t="s">
        <v>328</v>
      </c>
      <c r="G11" s="106"/>
    </row>
    <row r="12" spans="1:7" s="23" customFormat="1">
      <c r="A12" s="106"/>
      <c r="B12" s="559"/>
      <c r="C12" s="106"/>
      <c r="D12" s="568" t="s">
        <v>123</v>
      </c>
      <c r="E12" s="562" t="s">
        <v>144</v>
      </c>
      <c r="F12" s="106" t="s">
        <v>324</v>
      </c>
      <c r="G12" s="106"/>
    </row>
    <row r="13" spans="1:7" s="23" customFormat="1">
      <c r="A13" s="106"/>
      <c r="B13" s="559"/>
      <c r="C13" s="106"/>
      <c r="D13" s="567" t="s">
        <v>153</v>
      </c>
      <c r="E13" s="562" t="s">
        <v>142</v>
      </c>
      <c r="F13" s="106" t="s">
        <v>325</v>
      </c>
      <c r="G13" s="106"/>
    </row>
    <row r="14" spans="1:7" ht="18">
      <c r="A14" s="106"/>
      <c r="B14" s="788" t="s">
        <v>242</v>
      </c>
      <c r="C14" s="788"/>
      <c r="D14" s="106"/>
      <c r="E14" s="106"/>
      <c r="F14" s="106"/>
      <c r="G14" s="106"/>
    </row>
    <row r="15" spans="1:7">
      <c r="A15" s="106"/>
      <c r="B15" s="559"/>
      <c r="C15" s="106" t="s">
        <v>289</v>
      </c>
      <c r="D15" s="566" t="s">
        <v>67</v>
      </c>
      <c r="E15" s="562" t="s">
        <v>241</v>
      </c>
      <c r="F15" s="106" t="s">
        <v>244</v>
      </c>
      <c r="G15" s="106"/>
    </row>
    <row r="16" spans="1:7">
      <c r="A16" s="106"/>
      <c r="B16" s="559"/>
      <c r="C16" s="106"/>
      <c r="D16" s="25" t="s">
        <v>66</v>
      </c>
      <c r="E16" s="565" t="s">
        <v>243</v>
      </c>
      <c r="F16" s="106" t="s">
        <v>244</v>
      </c>
      <c r="G16" s="106"/>
    </row>
    <row r="17" spans="1:7">
      <c r="A17" s="106"/>
      <c r="B17" s="559"/>
      <c r="C17" s="106"/>
      <c r="D17" s="24" t="s">
        <v>65</v>
      </c>
      <c r="E17" s="565" t="s">
        <v>245</v>
      </c>
      <c r="F17" s="106" t="s">
        <v>244</v>
      </c>
      <c r="G17" s="106"/>
    </row>
    <row r="18" spans="1:7">
      <c r="A18" s="106"/>
      <c r="B18" s="559"/>
      <c r="C18" s="106"/>
      <c r="D18" s="106"/>
      <c r="E18" s="106"/>
      <c r="F18" s="106"/>
      <c r="G18" s="106"/>
    </row>
    <row r="19" spans="1:7">
      <c r="A19" s="106"/>
      <c r="B19" s="559"/>
      <c r="C19" s="106"/>
      <c r="D19" s="106"/>
      <c r="E19" s="106"/>
      <c r="F19" s="106"/>
      <c r="G19" s="106"/>
    </row>
    <row r="20" spans="1:7">
      <c r="A20" s="106"/>
      <c r="B20" s="559"/>
      <c r="C20" s="106"/>
      <c r="D20" s="106"/>
      <c r="E20" s="106"/>
      <c r="F20" s="106"/>
      <c r="G20" s="106"/>
    </row>
    <row r="21" spans="1:7">
      <c r="A21" s="106"/>
      <c r="B21" s="559"/>
      <c r="C21" s="106"/>
      <c r="D21" s="106"/>
      <c r="E21" s="106" t="s">
        <v>290</v>
      </c>
      <c r="F21" s="106" t="s">
        <v>0</v>
      </c>
      <c r="G21" s="106"/>
    </row>
    <row r="22" spans="1:7">
      <c r="A22" s="106"/>
      <c r="B22" s="559"/>
      <c r="C22" s="106"/>
      <c r="D22" s="106"/>
      <c r="E22" s="106" t="s">
        <v>291</v>
      </c>
      <c r="F22" s="106" t="s">
        <v>0</v>
      </c>
      <c r="G22" s="106"/>
    </row>
    <row r="23" spans="1:7">
      <c r="A23" s="106"/>
      <c r="B23" s="559"/>
      <c r="C23" s="106"/>
      <c r="D23" s="106"/>
      <c r="E23" s="106"/>
      <c r="F23" s="106"/>
      <c r="G23" s="106"/>
    </row>
    <row r="24" spans="1:7">
      <c r="A24" s="106"/>
      <c r="B24" s="559"/>
      <c r="C24" s="106"/>
      <c r="D24" s="106"/>
      <c r="E24" s="106"/>
      <c r="F24" s="106"/>
      <c r="G24" s="106"/>
    </row>
    <row r="25" spans="1:7">
      <c r="A25" s="106"/>
      <c r="B25" s="559"/>
      <c r="C25" s="106"/>
      <c r="D25" s="106"/>
      <c r="E25" s="106"/>
      <c r="F25" s="106"/>
      <c r="G25" s="106"/>
    </row>
    <row r="26" spans="1:7">
      <c r="A26" s="106"/>
      <c r="B26" s="559"/>
      <c r="C26" s="106"/>
      <c r="D26" s="106"/>
      <c r="E26" s="106"/>
      <c r="F26" s="106"/>
      <c r="G26" s="106"/>
    </row>
    <row r="27" spans="1:7">
      <c r="A27" s="106"/>
      <c r="B27" s="559"/>
      <c r="C27" s="106"/>
      <c r="D27" s="106"/>
      <c r="E27" s="106"/>
      <c r="F27" s="106"/>
      <c r="G27" s="106"/>
    </row>
    <row r="28" spans="1:7">
      <c r="A28" s="106"/>
      <c r="B28" s="55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A2D7B7E993153459695D295EC8C5DC6" ma:contentTypeVersion="" ma:contentTypeDescription="Create a new document." ma:contentTypeScope="" ma:versionID="b81c0c9829bbb97bece8a1e4eb771d79">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FE4C6A1D-6645-4114-87CE-98FAE8E8E4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2013-04-18T00:42:14Z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0x0101004A2D7B7E993153459695D295EC8C5DC6</vt:lpwstr>
  </property>
  <property fmtid="{D5CDD505-2E9C-101B-9397-08002B2CF9AE}" pid="3" name="_CheckOutSrcUrl">
    <vt:lpwstr>http://deqsps/programs/rulemaking/wq/pmtfee/docs/1-Planning/SCHEDULE.xlsx</vt:lpwstr>
  </property>
</Properties>
</file>